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Worksheet" sheetId="1" r:id="rId1"/>
    <sheet name="Text Example" sheetId="2" r:id="rId2"/>
    <sheet name="Problem 1" sheetId="3" r:id="rId3"/>
    <sheet name="Problem 2" sheetId="4" r:id="rId4"/>
  </sheets>
  <definedNames/>
  <calcPr fullCalcOnLoad="1"/>
</workbook>
</file>

<file path=xl/sharedStrings.xml><?xml version="1.0" encoding="utf-8"?>
<sst xmlns="http://schemas.openxmlformats.org/spreadsheetml/2006/main" count="263" uniqueCount="63">
  <si>
    <t>Number of cows</t>
  </si>
  <si>
    <t>Other Schedule F income</t>
  </si>
  <si>
    <t>Paid Labor Costs</t>
  </si>
  <si>
    <t>Interest Paid</t>
  </si>
  <si>
    <t>Depreciation</t>
  </si>
  <si>
    <t>Other</t>
  </si>
  <si>
    <t>Unpaid Labor and Management</t>
  </si>
  <si>
    <t>Interest on Equity Capital</t>
  </si>
  <si>
    <t>Per Cow</t>
  </si>
  <si>
    <t>Per Farm</t>
  </si>
  <si>
    <t>Purchased Feed</t>
  </si>
  <si>
    <t>Residual</t>
  </si>
  <si>
    <t>Equivalent</t>
  </si>
  <si>
    <t>Return to Unpaid Labor, Management and Equity Capital</t>
  </si>
  <si>
    <t>Price per Hunderweight of Milk</t>
  </si>
  <si>
    <t>Income per Hundredweight of Milk Sold</t>
  </si>
  <si>
    <t>Milk Sold per Cow</t>
  </si>
  <si>
    <t>Milk Price</t>
  </si>
  <si>
    <t>Milk Income</t>
  </si>
  <si>
    <t>Cull Cow Income from Form 4797</t>
  </si>
  <si>
    <t>Change in Livestock Inventory</t>
  </si>
  <si>
    <t>Hundredweight Equivalents of Milk Sold</t>
  </si>
  <si>
    <t>Hundredweight of Milk Sold</t>
  </si>
  <si>
    <t>Change in Feed Inventory</t>
  </si>
  <si>
    <t>Change in Accounts Payable</t>
  </si>
  <si>
    <t>Cells that allow input are in blue.</t>
  </si>
  <si>
    <r>
      <t>minus</t>
    </r>
    <r>
      <rPr>
        <sz val="10"/>
        <rFont val="Arial"/>
        <family val="0"/>
      </rPr>
      <t xml:space="preserve"> Change in Prepaid Expenses</t>
    </r>
  </si>
  <si>
    <t>Return Over Expenses</t>
  </si>
  <si>
    <t>Milk Income as a Percent of Total Farm Income</t>
  </si>
  <si>
    <t>Total Farm Income</t>
  </si>
  <si>
    <t>Total Farm Expense</t>
  </si>
  <si>
    <t>Cost per</t>
  </si>
  <si>
    <t>100 lbs</t>
  </si>
  <si>
    <t xml:space="preserve">Sum of </t>
  </si>
  <si>
    <t>Sold</t>
  </si>
  <si>
    <t>Cost Per 100 Lbs Sold</t>
  </si>
  <si>
    <t>Cost per 100 Lbs Equivalent</t>
  </si>
  <si>
    <t>Claimant</t>
  </si>
  <si>
    <t>Sum</t>
  </si>
  <si>
    <t>100 lbs?</t>
  </si>
  <si>
    <t>Total per Cow Expense Using Residual Claimant Method</t>
  </si>
  <si>
    <t>Total per Cow Income</t>
  </si>
  <si>
    <t>Total per Cow Expense</t>
  </si>
  <si>
    <t>Cost per 100 Lbs Residual Claimant</t>
  </si>
  <si>
    <t>=</t>
  </si>
  <si>
    <t>per cow</t>
  </si>
  <si>
    <t>Claimant?</t>
  </si>
  <si>
    <t>Clt Sum</t>
  </si>
  <si>
    <t>Change Calculator</t>
  </si>
  <si>
    <t>Beginning</t>
  </si>
  <si>
    <t>Ending</t>
  </si>
  <si>
    <t>Change</t>
  </si>
  <si>
    <t>Feed Inventory</t>
  </si>
  <si>
    <t>Livestock Inventory</t>
  </si>
  <si>
    <t>Account Payable</t>
  </si>
  <si>
    <r>
      <t>minus</t>
    </r>
    <r>
      <rPr>
        <sz val="10"/>
        <rFont val="Arial"/>
        <family val="2"/>
      </rPr>
      <t xml:space="preserve"> Change</t>
    </r>
  </si>
  <si>
    <t>Prepaid Expense</t>
  </si>
  <si>
    <t>Pounds of Milk Sold per Cow</t>
  </si>
  <si>
    <t>Break Even Milk Price When:</t>
  </si>
  <si>
    <t>Total Farm</t>
  </si>
  <si>
    <t>Expenses</t>
  </si>
  <si>
    <t>Break Even Milk Sales per Cow When:</t>
  </si>
  <si>
    <t>Milk Price per Hundredrweight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</si>
</sst>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_(* #,##0.00000000_);_(* \(#,##0.00000000\);_(* &quot;-&quot;??_);_(@_)"/>
    <numFmt numFmtId="174" formatCode="_(&quot;$&quot;* #,##0.000_);_(&quot;$&quot;* \(#,##0.000\);_(&quot;$&quot;* &quot;-&quot;??_);_(@_)"/>
    <numFmt numFmtId="175" formatCode="_(&quot;$&quot;* #,##0_);_(&quot;$&quot;* \-\ #,##0_);_(&quot;$&quot;* &quot;-&quot;_);_(@_)"/>
    <numFmt numFmtId="176" formatCode="&quot;$&quot;#,##0"/>
    <numFmt numFmtId="177" formatCode="_(* #,##0.0_);_(* \(#,##0.0\);_(* &quot;-&quot;?_);_(@_)"/>
    <numFmt numFmtId="178" formatCode="_(&quot;$&quot;* #,##0.0000_);_(&quot;$&quot;* \(#,##0.0000\);_(&quot;$&quot;* &quot;-&quot;??_);_(@_)"/>
    <numFmt numFmtId="179" formatCode="_(&quot;$&quot;* #,##0.00000_);_(&quot;$&quot;* \(#,##0.00000\);_(&quot;$&quot;* &quot;-&quot;??_);_(@_)"/>
    <numFmt numFmtId="180" formatCode="_(&quot;$&quot;* #,##0.000000_);_(&quot;$&quot;* \(#,##0.000000\);_(&quot;$&quot;* &quot;-&quot;??_);_(@_)"/>
    <numFmt numFmtId="181" formatCode="_(&quot;$&quot;* #,##0.0000000_);_(&quot;$&quot;* \(#,##0.0000000\);_(&quot;$&quot;* &quot;-&quot;??_);_(@_)"/>
    <numFmt numFmtId="182" formatCode="_(&quot;$&quot;* #,##0.00000000_);_(&quot;$&quot;* \(#,##0.00000000\);_(&quot;$&quot;* &quot;-&quot;??_);_(@_)"/>
    <numFmt numFmtId="183" formatCode="&quot;$&quot;#,##0.0_);[Red]\(&quot;$&quot;#,##0.0\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  <font>
      <sz val="10"/>
      <color indexed="15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horizontal="right"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65" fontId="0" fillId="0" borderId="0" xfId="0" applyNumberFormat="1" applyBorder="1" applyAlignment="1">
      <alignment/>
    </xf>
    <xf numFmtId="44" fontId="0" fillId="0" borderId="10" xfId="44" applyFont="1" applyBorder="1" applyAlignment="1">
      <alignment/>
    </xf>
    <xf numFmtId="0" fontId="0" fillId="0" borderId="0" xfId="0" applyAlignment="1">
      <alignment horizontal="center"/>
    </xf>
    <xf numFmtId="44" fontId="0" fillId="0" borderId="0" xfId="44" applyFont="1" applyBorder="1" applyAlignment="1">
      <alignment/>
    </xf>
    <xf numFmtId="43" fontId="0" fillId="0" borderId="0" xfId="0" applyNumberFormat="1" applyAlignment="1">
      <alignment/>
    </xf>
    <xf numFmtId="44" fontId="0" fillId="0" borderId="11" xfId="44" applyFont="1" applyBorder="1" applyAlignment="1">
      <alignment/>
    </xf>
    <xf numFmtId="43" fontId="0" fillId="0" borderId="11" xfId="0" applyNumberFormat="1" applyBorder="1" applyAlignment="1">
      <alignment/>
    </xf>
    <xf numFmtId="44" fontId="0" fillId="33" borderId="0" xfId="44" applyFont="1" applyFill="1" applyAlignment="1">
      <alignment/>
    </xf>
    <xf numFmtId="44" fontId="0" fillId="34" borderId="0" xfId="44" applyFont="1" applyFill="1" applyAlignment="1">
      <alignment/>
    </xf>
    <xf numFmtId="44" fontId="0" fillId="35" borderId="0" xfId="44" applyFont="1" applyFill="1" applyAlignment="1">
      <alignment/>
    </xf>
    <xf numFmtId="43" fontId="0" fillId="0" borderId="0" xfId="0" applyNumberFormat="1" applyBorder="1" applyAlignment="1">
      <alignment/>
    </xf>
    <xf numFmtId="43" fontId="0" fillId="0" borderId="12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33" borderId="0" xfId="0" applyFill="1" applyAlignment="1">
      <alignment horizontal="center"/>
    </xf>
    <xf numFmtId="44" fontId="0" fillId="33" borderId="0" xfId="44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167" fontId="2" fillId="0" borderId="0" xfId="42" applyNumberFormat="1" applyFont="1" applyAlignment="1" applyProtection="1">
      <alignment/>
      <protection locked="0"/>
    </xf>
    <xf numFmtId="44" fontId="2" fillId="0" borderId="0" xfId="44" applyFont="1" applyAlignment="1" applyProtection="1">
      <alignment/>
      <protection locked="0"/>
    </xf>
    <xf numFmtId="165" fontId="2" fillId="0" borderId="0" xfId="44" applyNumberFormat="1" applyFont="1" applyAlignment="1" applyProtection="1">
      <alignment/>
      <protection locked="0"/>
    </xf>
    <xf numFmtId="165" fontId="2" fillId="0" borderId="13" xfId="44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center"/>
    </xf>
    <xf numFmtId="44" fontId="0" fillId="33" borderId="0" xfId="44" applyFont="1" applyFill="1" applyAlignment="1">
      <alignment horizontal="center"/>
    </xf>
    <xf numFmtId="44" fontId="0" fillId="33" borderId="11" xfId="44" applyFont="1" applyFill="1" applyBorder="1" applyAlignment="1">
      <alignment horizontal="center"/>
    </xf>
    <xf numFmtId="44" fontId="0" fillId="34" borderId="0" xfId="44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  <xf numFmtId="44" fontId="4" fillId="36" borderId="0" xfId="44" applyFont="1" applyFill="1" applyAlignment="1">
      <alignment horizontal="center"/>
    </xf>
    <xf numFmtId="44" fontId="4" fillId="36" borderId="11" xfId="44" applyFont="1" applyFill="1" applyBorder="1" applyAlignment="1">
      <alignment horizontal="center"/>
    </xf>
    <xf numFmtId="44" fontId="4" fillId="36" borderId="0" xfId="44" applyFont="1" applyFill="1" applyAlignment="1">
      <alignment/>
    </xf>
    <xf numFmtId="44" fontId="4" fillId="36" borderId="0" xfId="44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 applyProtection="1">
      <alignment/>
      <protection/>
    </xf>
    <xf numFmtId="165" fontId="0" fillId="0" borderId="0" xfId="44" applyNumberFormat="1" applyFont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 locked="0"/>
    </xf>
    <xf numFmtId="175" fontId="2" fillId="0" borderId="0" xfId="44" applyNumberFormat="1" applyFont="1" applyAlignment="1" applyProtection="1">
      <alignment/>
      <protection locked="0"/>
    </xf>
    <xf numFmtId="165" fontId="0" fillId="0" borderId="13" xfId="44" applyNumberFormat="1" applyFont="1" applyBorder="1" applyAlignment="1" applyProtection="1">
      <alignment/>
      <protection/>
    </xf>
    <xf numFmtId="175" fontId="2" fillId="0" borderId="13" xfId="44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4" fontId="0" fillId="36" borderId="0" xfId="44" applyFont="1" applyFill="1" applyAlignment="1">
      <alignment horizontal="center"/>
    </xf>
    <xf numFmtId="0" fontId="0" fillId="36" borderId="0" xfId="0" applyFill="1" applyAlignment="1">
      <alignment horizontal="center"/>
    </xf>
    <xf numFmtId="165" fontId="0" fillId="0" borderId="11" xfId="0" applyNumberFormat="1" applyFont="1" applyBorder="1" applyAlignment="1" applyProtection="1">
      <alignment horizontal="center"/>
      <protection/>
    </xf>
    <xf numFmtId="44" fontId="0" fillId="36" borderId="11" xfId="44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44" fontId="0" fillId="36" borderId="0" xfId="44" applyFont="1" applyFill="1" applyAlignment="1">
      <alignment/>
    </xf>
    <xf numFmtId="44" fontId="0" fillId="36" borderId="0" xfId="44" applyFont="1" applyFill="1" applyBorder="1" applyAlignment="1">
      <alignment/>
    </xf>
    <xf numFmtId="165" fontId="0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44" fontId="0" fillId="0" borderId="11" xfId="44" applyFont="1" applyBorder="1" applyAlignment="1">
      <alignment horizontal="right"/>
    </xf>
    <xf numFmtId="44" fontId="0" fillId="0" borderId="0" xfId="44" applyFont="1" applyBorder="1" applyAlignment="1">
      <alignment horizontal="right"/>
    </xf>
    <xf numFmtId="176" fontId="0" fillId="0" borderId="0" xfId="44" applyNumberFormat="1" applyFont="1" applyAlignment="1">
      <alignment/>
    </xf>
    <xf numFmtId="176" fontId="3" fillId="0" borderId="0" xfId="44" applyNumberFormat="1" applyFont="1" applyAlignment="1">
      <alignment horizontal="right"/>
    </xf>
    <xf numFmtId="44" fontId="0" fillId="0" borderId="0" xfId="44" applyFont="1" applyAlignment="1">
      <alignment horizontal="right"/>
    </xf>
    <xf numFmtId="165" fontId="0" fillId="0" borderId="0" xfId="44" applyNumberFormat="1" applyFont="1" applyBorder="1" applyAlignment="1">
      <alignment/>
    </xf>
    <xf numFmtId="165" fontId="2" fillId="0" borderId="0" xfId="44" applyNumberFormat="1" applyFont="1" applyBorder="1" applyAlignment="1" applyProtection="1">
      <alignment/>
      <protection locked="0"/>
    </xf>
    <xf numFmtId="165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0" fillId="0" borderId="14" xfId="0" applyNumberFormat="1" applyBorder="1" applyAlignment="1">
      <alignment/>
    </xf>
    <xf numFmtId="8" fontId="0" fillId="0" borderId="15" xfId="0" applyNumberFormat="1" applyBorder="1" applyAlignment="1">
      <alignment/>
    </xf>
    <xf numFmtId="8" fontId="0" fillId="0" borderId="16" xfId="0" applyNumberFormat="1" applyBorder="1" applyAlignment="1">
      <alignment/>
    </xf>
    <xf numFmtId="8" fontId="0" fillId="0" borderId="17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18" xfId="0" applyNumberFormat="1" applyBorder="1" applyAlignment="1">
      <alignment/>
    </xf>
    <xf numFmtId="8" fontId="0" fillId="0" borderId="19" xfId="0" applyNumberFormat="1" applyBorder="1" applyAlignment="1">
      <alignment/>
    </xf>
    <xf numFmtId="8" fontId="0" fillId="0" borderId="11" xfId="0" applyNumberFormat="1" applyBorder="1" applyAlignment="1">
      <alignment/>
    </xf>
    <xf numFmtId="8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0" xfId="0" applyNumberFormat="1" applyBorder="1" applyAlignment="1">
      <alignment/>
    </xf>
    <xf numFmtId="8" fontId="8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8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12.28125" style="0" bestFit="1" customWidth="1"/>
    <col min="2" max="2" width="33.140625" style="0" bestFit="1" customWidth="1"/>
    <col min="3" max="3" width="11.57421875" style="0" customWidth="1"/>
    <col min="4" max="4" width="3.00390625" style="0" customWidth="1"/>
    <col min="5" max="5" width="11.28125" style="0" customWidth="1"/>
    <col min="6" max="6" width="11.28125" style="0" bestFit="1" customWidth="1"/>
    <col min="7" max="7" width="2.28125" style="0" customWidth="1"/>
    <col min="10" max="10" width="2.00390625" style="0" customWidth="1"/>
    <col min="11" max="11" width="11.421875" style="0" customWidth="1"/>
  </cols>
  <sheetData>
    <row r="1" spans="1:7" ht="12.75">
      <c r="A1" s="30" t="s">
        <v>25</v>
      </c>
      <c r="B1" s="4"/>
      <c r="F1" s="1"/>
      <c r="G1" s="1"/>
    </row>
    <row r="2" spans="2:7" ht="12.75">
      <c r="B2" s="4" t="s">
        <v>0</v>
      </c>
      <c r="C2" s="25">
        <v>1</v>
      </c>
      <c r="E2" s="7"/>
      <c r="F2" s="1"/>
      <c r="G2" s="1"/>
    </row>
    <row r="3" spans="2:7" ht="12.75">
      <c r="B3" s="4" t="s">
        <v>16</v>
      </c>
      <c r="C3" s="26">
        <v>20000</v>
      </c>
      <c r="F3" s="1"/>
      <c r="G3" s="1"/>
    </row>
    <row r="4" spans="1:10" ht="12.75">
      <c r="A4" s="47" t="s">
        <v>8</v>
      </c>
      <c r="B4" s="4" t="s">
        <v>17</v>
      </c>
      <c r="C4" s="27">
        <v>10</v>
      </c>
      <c r="E4" s="3">
        <f>1-(E6-E5)/E5</f>
        <v>1</v>
      </c>
      <c r="F4" s="1" t="s">
        <v>28</v>
      </c>
      <c r="G4" s="1"/>
      <c r="I4" s="3"/>
      <c r="J4" s="3"/>
    </row>
    <row r="5" spans="1:7" ht="12.75">
      <c r="A5" s="48">
        <f>C5/$C$2</f>
        <v>2000</v>
      </c>
      <c r="B5" s="4" t="s">
        <v>18</v>
      </c>
      <c r="C5" s="5">
        <f>C2*C3*C4/100</f>
        <v>2000</v>
      </c>
      <c r="D5" s="6"/>
      <c r="E5" s="8">
        <f>C2*C3/100</f>
        <v>200</v>
      </c>
      <c r="F5" s="1" t="s">
        <v>22</v>
      </c>
      <c r="G5" s="1"/>
    </row>
    <row r="6" spans="1:7" ht="12.75">
      <c r="A6" s="48">
        <f>C6/$C$2</f>
        <v>0</v>
      </c>
      <c r="B6" s="4" t="s">
        <v>1</v>
      </c>
      <c r="C6" s="49">
        <v>0</v>
      </c>
      <c r="D6" s="6"/>
      <c r="E6" s="8">
        <f>C10/C4</f>
        <v>200</v>
      </c>
      <c r="F6" s="1" t="s">
        <v>21</v>
      </c>
      <c r="G6" s="1"/>
    </row>
    <row r="7" spans="1:7" ht="12.75">
      <c r="A7" s="48">
        <f>C7/$C$2</f>
        <v>0</v>
      </c>
      <c r="B7" s="4" t="s">
        <v>19</v>
      </c>
      <c r="C7" s="49">
        <v>0</v>
      </c>
      <c r="D7" s="6"/>
      <c r="F7" s="1"/>
      <c r="G7" s="1"/>
    </row>
    <row r="8" spans="1:7" ht="12.75">
      <c r="A8" s="48">
        <f>C8/$C$2</f>
        <v>0</v>
      </c>
      <c r="B8" s="4" t="s">
        <v>23</v>
      </c>
      <c r="C8" s="50"/>
      <c r="D8" s="6"/>
      <c r="F8" s="1"/>
      <c r="G8" s="1"/>
    </row>
    <row r="9" spans="1:7" ht="13.5" thickBot="1">
      <c r="A9" s="51">
        <f>C9/$C$2</f>
        <v>0</v>
      </c>
      <c r="B9" s="33" t="s">
        <v>20</v>
      </c>
      <c r="C9" s="52">
        <v>0</v>
      </c>
      <c r="D9" s="6"/>
      <c r="G9" s="1"/>
    </row>
    <row r="10" spans="1:7" ht="13.5" thickTop="1">
      <c r="A10" s="48">
        <f>SUM(A5:A9)</f>
        <v>2000</v>
      </c>
      <c r="B10" s="4" t="s">
        <v>29</v>
      </c>
      <c r="C10" s="6">
        <f>SUM(C5:C9)</f>
        <v>2000</v>
      </c>
      <c r="D10" s="6"/>
      <c r="G10" s="1"/>
    </row>
    <row r="11" spans="1:10" ht="12.75">
      <c r="A11" s="48"/>
      <c r="B11" s="4"/>
      <c r="C11" s="6"/>
      <c r="D11" s="6"/>
      <c r="E11" s="67" t="s">
        <v>15</v>
      </c>
      <c r="F11" s="1">
        <f>C10/E5</f>
        <v>10</v>
      </c>
      <c r="G11" s="1"/>
      <c r="I11" s="2">
        <f>C4</f>
        <v>10</v>
      </c>
      <c r="J11" s="1" t="s">
        <v>14</v>
      </c>
    </row>
    <row r="12" spans="1:10" ht="12.75">
      <c r="A12" s="53"/>
      <c r="B12" s="4"/>
      <c r="C12" s="6"/>
      <c r="D12" s="6"/>
      <c r="F12" s="35" t="s">
        <v>33</v>
      </c>
      <c r="G12" s="54"/>
      <c r="I12" s="54" t="s">
        <v>33</v>
      </c>
      <c r="J12" s="23"/>
    </row>
    <row r="13" spans="1:10" ht="12.75">
      <c r="A13" s="53"/>
      <c r="B13" s="4"/>
      <c r="C13" s="6"/>
      <c r="D13" s="6"/>
      <c r="E13" s="11" t="s">
        <v>31</v>
      </c>
      <c r="F13" s="35" t="s">
        <v>31</v>
      </c>
      <c r="G13" s="54"/>
      <c r="H13" s="11" t="s">
        <v>31</v>
      </c>
      <c r="I13" s="55" t="s">
        <v>31</v>
      </c>
      <c r="J13" s="23"/>
    </row>
    <row r="14" spans="1:13" ht="12.75">
      <c r="A14" s="53"/>
      <c r="B14" s="4"/>
      <c r="C14" s="6"/>
      <c r="D14" s="21"/>
      <c r="E14" s="11" t="s">
        <v>32</v>
      </c>
      <c r="F14" s="35" t="s">
        <v>32</v>
      </c>
      <c r="G14" s="54"/>
      <c r="H14" s="11" t="s">
        <v>32</v>
      </c>
      <c r="I14" s="55" t="s">
        <v>32</v>
      </c>
      <c r="J14" s="23"/>
      <c r="K14" s="11" t="s">
        <v>11</v>
      </c>
      <c r="L14" s="11" t="s">
        <v>11</v>
      </c>
      <c r="M14" s="11"/>
    </row>
    <row r="15" spans="1:13" ht="12.75">
      <c r="A15" s="56" t="s">
        <v>8</v>
      </c>
      <c r="B15" s="4"/>
      <c r="C15" s="22" t="s">
        <v>9</v>
      </c>
      <c r="E15" s="34" t="s">
        <v>34</v>
      </c>
      <c r="F15" s="36" t="s">
        <v>34</v>
      </c>
      <c r="G15" s="57"/>
      <c r="H15" s="34" t="s">
        <v>12</v>
      </c>
      <c r="I15" s="58" t="s">
        <v>12</v>
      </c>
      <c r="J15" s="23"/>
      <c r="K15" s="11" t="s">
        <v>46</v>
      </c>
      <c r="L15" s="11" t="s">
        <v>47</v>
      </c>
      <c r="M15" s="11"/>
    </row>
    <row r="16" spans="1:13" ht="12.75">
      <c r="A16" s="48">
        <f aca="true" t="shared" si="0" ref="A16:A24">C16/$C$2</f>
        <v>0</v>
      </c>
      <c r="B16" s="4" t="s">
        <v>10</v>
      </c>
      <c r="C16" s="28">
        <v>0</v>
      </c>
      <c r="E16" s="1">
        <f aca="true" t="shared" si="1" ref="E16:E24">C16/$E$5</f>
        <v>0</v>
      </c>
      <c r="F16" s="1">
        <f>E16</f>
        <v>0</v>
      </c>
      <c r="G16" s="59"/>
      <c r="H16" s="1">
        <f aca="true" t="shared" si="2" ref="H16:H24">C16/$E$6</f>
        <v>0</v>
      </c>
      <c r="I16" s="1">
        <f>H16</f>
        <v>0</v>
      </c>
      <c r="J16" s="16"/>
      <c r="K16" s="13">
        <f aca="true" t="shared" si="3" ref="K16:K24">(C16-$C$6-$C$7-$C$8-$C$9)/$E$5</f>
        <v>0</v>
      </c>
      <c r="L16" s="13">
        <f>(C16-$C$6-$C$7-$C$8-$C$9)/$E$5</f>
        <v>0</v>
      </c>
      <c r="M16" s="13"/>
    </row>
    <row r="17" spans="1:13" ht="12.75">
      <c r="A17" s="48">
        <f t="shared" si="0"/>
        <v>0</v>
      </c>
      <c r="B17" s="4" t="s">
        <v>5</v>
      </c>
      <c r="C17" s="28">
        <v>0</v>
      </c>
      <c r="E17" s="1">
        <f t="shared" si="1"/>
        <v>0</v>
      </c>
      <c r="F17" s="1">
        <f aca="true" t="shared" si="4" ref="F17:F24">F16+E17</f>
        <v>0</v>
      </c>
      <c r="G17" s="59"/>
      <c r="H17" s="1">
        <f t="shared" si="2"/>
        <v>0</v>
      </c>
      <c r="I17" s="1">
        <f aca="true" t="shared" si="5" ref="I17:I24">I16+H17</f>
        <v>0</v>
      </c>
      <c r="J17" s="16"/>
      <c r="K17" s="13">
        <f t="shared" si="3"/>
        <v>0</v>
      </c>
      <c r="L17" s="13">
        <f>(C16+C17-$C$6-$C$7-$C$8-$C$9)/$E$5</f>
        <v>0</v>
      </c>
      <c r="M17" s="13"/>
    </row>
    <row r="18" spans="1:13" ht="12.75">
      <c r="A18" s="48">
        <f t="shared" si="0"/>
        <v>0</v>
      </c>
      <c r="B18" s="4" t="s">
        <v>24</v>
      </c>
      <c r="C18" s="50">
        <v>0</v>
      </c>
      <c r="E18" s="1">
        <f t="shared" si="1"/>
        <v>0</v>
      </c>
      <c r="F18" s="1">
        <f>F17+E18</f>
        <v>0</v>
      </c>
      <c r="G18" s="59"/>
      <c r="H18" s="1">
        <f t="shared" si="2"/>
        <v>0</v>
      </c>
      <c r="I18" s="1">
        <f>I17+H18</f>
        <v>0</v>
      </c>
      <c r="J18" s="16"/>
      <c r="K18" s="13">
        <f t="shared" si="3"/>
        <v>0</v>
      </c>
      <c r="L18" s="13">
        <f>(C16+C17+C18-$C$6-$C$7-$C$8-$C$9)/$E$5</f>
        <v>0</v>
      </c>
      <c r="M18" s="13"/>
    </row>
    <row r="19" spans="1:13" ht="12.75">
      <c r="A19" s="48">
        <f t="shared" si="0"/>
        <v>0</v>
      </c>
      <c r="B19" s="31" t="s">
        <v>26</v>
      </c>
      <c r="C19" s="50">
        <v>0</v>
      </c>
      <c r="E19" s="1">
        <f t="shared" si="1"/>
        <v>0</v>
      </c>
      <c r="F19" s="1">
        <f>F18+E19</f>
        <v>0</v>
      </c>
      <c r="G19" s="59"/>
      <c r="H19" s="1">
        <f t="shared" si="2"/>
        <v>0</v>
      </c>
      <c r="I19" s="1">
        <f>I18+H19</f>
        <v>0</v>
      </c>
      <c r="J19" s="16"/>
      <c r="K19" s="13">
        <f t="shared" si="3"/>
        <v>0</v>
      </c>
      <c r="L19" s="13">
        <f>(C16+C17+C18+C19-$C$6-$C$7-$C$8-$C$9)/$E$5</f>
        <v>0</v>
      </c>
      <c r="M19" s="13"/>
    </row>
    <row r="20" spans="1:13" ht="12.75">
      <c r="A20" s="48">
        <f t="shared" si="0"/>
        <v>0</v>
      </c>
      <c r="B20" s="4" t="s">
        <v>2</v>
      </c>
      <c r="C20" s="28">
        <v>0</v>
      </c>
      <c r="E20" s="1">
        <f t="shared" si="1"/>
        <v>0</v>
      </c>
      <c r="F20" s="1">
        <f>F19+E20</f>
        <v>0</v>
      </c>
      <c r="G20" s="59"/>
      <c r="H20" s="1">
        <f t="shared" si="2"/>
        <v>0</v>
      </c>
      <c r="I20" s="1">
        <f>I19+H20</f>
        <v>0</v>
      </c>
      <c r="J20" s="16"/>
      <c r="K20" s="13">
        <f t="shared" si="3"/>
        <v>0</v>
      </c>
      <c r="L20" s="13">
        <f>(C16+C17+C18+C19+C20-$C$6-$C$7-$C$8-$C$9)/$E$5</f>
        <v>0</v>
      </c>
      <c r="M20" s="13"/>
    </row>
    <row r="21" spans="1:13" ht="12.75">
      <c r="A21" s="48">
        <f t="shared" si="0"/>
        <v>0</v>
      </c>
      <c r="B21" s="4" t="s">
        <v>3</v>
      </c>
      <c r="C21" s="28">
        <v>0</v>
      </c>
      <c r="E21" s="1">
        <f t="shared" si="1"/>
        <v>0</v>
      </c>
      <c r="F21" s="14">
        <f t="shared" si="4"/>
        <v>0</v>
      </c>
      <c r="G21" s="60"/>
      <c r="H21" s="12">
        <f t="shared" si="2"/>
        <v>0</v>
      </c>
      <c r="I21" s="14">
        <f t="shared" si="5"/>
        <v>0</v>
      </c>
      <c r="J21" s="24"/>
      <c r="K21" s="13">
        <f t="shared" si="3"/>
        <v>0</v>
      </c>
      <c r="L21" s="15">
        <f>(C16+C17+C18+C19+C20+C21-$C$6-$C$7-$C$8-$C$9)/$E$5</f>
        <v>0</v>
      </c>
      <c r="M21" s="19"/>
    </row>
    <row r="22" spans="1:13" ht="13.5" thickBot="1">
      <c r="A22" s="48">
        <f t="shared" si="0"/>
        <v>0</v>
      </c>
      <c r="B22" s="4" t="s">
        <v>6</v>
      </c>
      <c r="C22" s="28">
        <v>0</v>
      </c>
      <c r="E22" s="1">
        <f t="shared" si="1"/>
        <v>0</v>
      </c>
      <c r="F22" s="10">
        <f t="shared" si="4"/>
        <v>0</v>
      </c>
      <c r="G22" s="60"/>
      <c r="H22" s="1">
        <f t="shared" si="2"/>
        <v>0</v>
      </c>
      <c r="I22" s="10">
        <f t="shared" si="5"/>
        <v>0</v>
      </c>
      <c r="J22" s="24"/>
      <c r="K22" s="13">
        <f t="shared" si="3"/>
        <v>0</v>
      </c>
      <c r="L22" s="20">
        <f>(C16+C17+C18+C19+C20+C21+C22-$C$6-$C$7-$C$8-$C$9)/$E$5</f>
        <v>0</v>
      </c>
      <c r="M22" s="19"/>
    </row>
    <row r="23" spans="1:13" ht="12.75">
      <c r="A23" s="48">
        <f t="shared" si="0"/>
        <v>0</v>
      </c>
      <c r="B23" s="4" t="s">
        <v>4</v>
      </c>
      <c r="C23" s="28">
        <v>0</v>
      </c>
      <c r="E23" s="1">
        <f t="shared" si="1"/>
        <v>0</v>
      </c>
      <c r="F23" s="1">
        <f t="shared" si="4"/>
        <v>0</v>
      </c>
      <c r="G23" s="59"/>
      <c r="H23" s="1">
        <f t="shared" si="2"/>
        <v>0</v>
      </c>
      <c r="I23" s="1">
        <f t="shared" si="5"/>
        <v>0</v>
      </c>
      <c r="J23" s="16"/>
      <c r="K23" s="13">
        <f t="shared" si="3"/>
        <v>0</v>
      </c>
      <c r="L23" s="19">
        <f>(C16+C17+C18+C19+C20+C21+C22+C23-$C$6-$C$7-$C$8-$C$9)/$E$5</f>
        <v>0</v>
      </c>
      <c r="M23" s="19"/>
    </row>
    <row r="24" spans="1:13" ht="13.5" thickBot="1">
      <c r="A24" s="51">
        <f t="shared" si="0"/>
        <v>0</v>
      </c>
      <c r="B24" s="33" t="s">
        <v>7</v>
      </c>
      <c r="C24" s="29">
        <v>0</v>
      </c>
      <c r="E24" s="12">
        <f t="shared" si="1"/>
        <v>0</v>
      </c>
      <c r="F24" s="1">
        <f t="shared" si="4"/>
        <v>0</v>
      </c>
      <c r="G24" s="59"/>
      <c r="H24" s="1">
        <f t="shared" si="2"/>
        <v>0</v>
      </c>
      <c r="I24" s="1">
        <f t="shared" si="5"/>
        <v>0</v>
      </c>
      <c r="J24" s="16"/>
      <c r="K24" s="13">
        <f t="shared" si="3"/>
        <v>0</v>
      </c>
      <c r="L24" s="13">
        <f>(C16+C17+C18+C19+C20+C21+C23+C22+C24-$C$6-$C$7-$C$8-$C$9)/$E$5</f>
        <v>0</v>
      </c>
      <c r="M24" s="13"/>
    </row>
    <row r="25" spans="1:7" ht="13.5" thickTop="1">
      <c r="A25" s="61">
        <f>SUM(A16:A24)</f>
        <v>0</v>
      </c>
      <c r="B25" s="4" t="s">
        <v>30</v>
      </c>
      <c r="C25" s="5">
        <f>SUM(C16:C24)</f>
        <v>0</v>
      </c>
      <c r="D25" s="5"/>
      <c r="E25" s="1"/>
      <c r="F25" s="1"/>
      <c r="G25" s="1"/>
    </row>
    <row r="26" spans="1:14" ht="12.75">
      <c r="A26" s="61"/>
      <c r="B26" s="4"/>
      <c r="C26" s="5"/>
      <c r="D26" s="5"/>
      <c r="E26" s="1"/>
      <c r="F26" s="1"/>
      <c r="G26" s="1"/>
      <c r="N26" s="11" t="s">
        <v>58</v>
      </c>
    </row>
    <row r="27" spans="2:14" ht="12.75">
      <c r="B27" s="4"/>
      <c r="C27" s="4" t="s">
        <v>35</v>
      </c>
      <c r="D27" s="6" t="s">
        <v>44</v>
      </c>
      <c r="E27" s="16">
        <f>$C$25/E5</f>
        <v>0</v>
      </c>
      <c r="F27" s="1"/>
      <c r="G27" s="1"/>
      <c r="K27" s="83" t="s">
        <v>59</v>
      </c>
      <c r="N27" s="11" t="s">
        <v>57</v>
      </c>
    </row>
    <row r="28" spans="2:16" ht="12.75">
      <c r="B28" s="4"/>
      <c r="C28" s="4" t="s">
        <v>36</v>
      </c>
      <c r="D28" s="6" t="s">
        <v>44</v>
      </c>
      <c r="E28" s="17">
        <f>$C$25/E6</f>
        <v>0</v>
      </c>
      <c r="F28" s="1"/>
      <c r="G28" s="1"/>
      <c r="K28" s="82" t="s">
        <v>60</v>
      </c>
      <c r="L28" s="71">
        <f>M28-1000</f>
        <v>19000</v>
      </c>
      <c r="M28" s="71">
        <f>$C$3</f>
        <v>20000</v>
      </c>
      <c r="N28" s="71">
        <f>M28+1000</f>
        <v>21000</v>
      </c>
      <c r="O28" s="71">
        <f>N28+1000</f>
        <v>22000</v>
      </c>
      <c r="P28" s="71">
        <f>O28+1000</f>
        <v>23000</v>
      </c>
    </row>
    <row r="29" spans="3:16" ht="13.5" thickBot="1">
      <c r="C29" s="4" t="s">
        <v>43</v>
      </c>
      <c r="D29" s="6" t="s">
        <v>44</v>
      </c>
      <c r="E29" s="18">
        <f>(C25-C6-C7-C8-C9)/E5</f>
        <v>0</v>
      </c>
      <c r="F29" s="1"/>
      <c r="G29" s="1"/>
      <c r="K29" s="72">
        <f>K30*0.95</f>
        <v>0</v>
      </c>
      <c r="L29" s="73">
        <f aca="true" t="shared" si="6" ref="L29:P33">($K29-$C$6-$C$7-$C$8-$C$9)/(L$28*$C$2/100)</f>
        <v>0</v>
      </c>
      <c r="M29" s="74">
        <f t="shared" si="6"/>
        <v>0</v>
      </c>
      <c r="N29" s="74">
        <f t="shared" si="6"/>
        <v>0</v>
      </c>
      <c r="O29" s="74">
        <f t="shared" si="6"/>
        <v>0</v>
      </c>
      <c r="P29" s="75">
        <f t="shared" si="6"/>
        <v>0</v>
      </c>
    </row>
    <row r="30" spans="2:16" ht="13.5" thickBot="1">
      <c r="B30" s="4"/>
      <c r="D30" s="6"/>
      <c r="F30" s="1"/>
      <c r="G30" s="1"/>
      <c r="K30" s="6">
        <f>$C$25</f>
        <v>0</v>
      </c>
      <c r="L30" s="76">
        <f t="shared" si="6"/>
        <v>0</v>
      </c>
      <c r="M30" s="95">
        <f t="shared" si="6"/>
        <v>0</v>
      </c>
      <c r="N30" s="77">
        <f t="shared" si="6"/>
        <v>0</v>
      </c>
      <c r="O30" s="77">
        <f t="shared" si="6"/>
        <v>0</v>
      </c>
      <c r="P30" s="78">
        <f t="shared" si="6"/>
        <v>0</v>
      </c>
    </row>
    <row r="31" spans="2:16" ht="12.75">
      <c r="B31" s="4"/>
      <c r="E31" s="4" t="s">
        <v>27</v>
      </c>
      <c r="F31" s="6">
        <f>C10-C25</f>
        <v>2000</v>
      </c>
      <c r="G31" s="6"/>
      <c r="K31" s="72">
        <f>K30*1.05</f>
        <v>0</v>
      </c>
      <c r="L31" s="76">
        <f t="shared" si="6"/>
        <v>0</v>
      </c>
      <c r="M31" s="77">
        <f t="shared" si="6"/>
        <v>0</v>
      </c>
      <c r="N31" s="77">
        <f t="shared" si="6"/>
        <v>0</v>
      </c>
      <c r="O31" s="77">
        <f t="shared" si="6"/>
        <v>0</v>
      </c>
      <c r="P31" s="78">
        <f t="shared" si="6"/>
        <v>0</v>
      </c>
    </row>
    <row r="32" spans="2:16" ht="12.75">
      <c r="B32" s="4"/>
      <c r="E32" s="4" t="s">
        <v>13</v>
      </c>
      <c r="F32" s="6">
        <f>F31+C24+C22</f>
        <v>2000</v>
      </c>
      <c r="G32" s="6"/>
      <c r="K32" s="72">
        <f>K30*1.1</f>
        <v>0</v>
      </c>
      <c r="L32" s="76">
        <f t="shared" si="6"/>
        <v>0</v>
      </c>
      <c r="M32" s="77">
        <f t="shared" si="6"/>
        <v>0</v>
      </c>
      <c r="N32" s="77">
        <f t="shared" si="6"/>
        <v>0</v>
      </c>
      <c r="O32" s="77">
        <f t="shared" si="6"/>
        <v>0</v>
      </c>
      <c r="P32" s="78">
        <f t="shared" si="6"/>
        <v>0</v>
      </c>
    </row>
    <row r="33" spans="2:16" ht="12.75">
      <c r="B33" s="4"/>
      <c r="E33" s="4"/>
      <c r="F33" s="6"/>
      <c r="G33" s="6"/>
      <c r="K33" s="72">
        <f>K30*1.15</f>
        <v>0</v>
      </c>
      <c r="L33" s="79">
        <f t="shared" si="6"/>
        <v>0</v>
      </c>
      <c r="M33" s="80">
        <f t="shared" si="6"/>
        <v>0</v>
      </c>
      <c r="N33" s="80">
        <f t="shared" si="6"/>
        <v>0</v>
      </c>
      <c r="O33" s="80">
        <f t="shared" si="6"/>
        <v>0</v>
      </c>
      <c r="P33" s="81">
        <f t="shared" si="6"/>
        <v>0</v>
      </c>
    </row>
    <row r="34" spans="2:7" ht="12.75">
      <c r="B34" s="4"/>
      <c r="E34" s="4"/>
      <c r="F34" s="6"/>
      <c r="G34" s="6"/>
    </row>
    <row r="35" spans="2:7" ht="15.75">
      <c r="B35" s="4"/>
      <c r="C35" s="62" t="s">
        <v>48</v>
      </c>
      <c r="F35" s="1"/>
      <c r="G35" s="1"/>
    </row>
    <row r="36" spans="2:14" ht="12.75">
      <c r="B36" s="4"/>
      <c r="C36" s="34" t="s">
        <v>49</v>
      </c>
      <c r="E36" s="34" t="s">
        <v>50</v>
      </c>
      <c r="F36" s="63" t="s">
        <v>51</v>
      </c>
      <c r="G36" s="64"/>
      <c r="N36" s="11" t="s">
        <v>61</v>
      </c>
    </row>
    <row r="37" spans="2:14" ht="12.75">
      <c r="B37" s="4" t="s">
        <v>52</v>
      </c>
      <c r="C37" s="28">
        <v>0</v>
      </c>
      <c r="D37" s="5"/>
      <c r="E37" s="28">
        <v>0</v>
      </c>
      <c r="F37" s="65">
        <f>E37-C37</f>
        <v>0</v>
      </c>
      <c r="G37" s="65"/>
      <c r="K37" s="83" t="s">
        <v>59</v>
      </c>
      <c r="N37" s="11" t="s">
        <v>62</v>
      </c>
    </row>
    <row r="38" spans="2:16" ht="12.75">
      <c r="B38" s="4" t="s">
        <v>53</v>
      </c>
      <c r="C38" s="28">
        <v>0</v>
      </c>
      <c r="D38" s="5"/>
      <c r="E38" s="28">
        <v>0</v>
      </c>
      <c r="F38" s="65">
        <f>E38-C38</f>
        <v>0</v>
      </c>
      <c r="G38" s="65"/>
      <c r="K38" s="82" t="s">
        <v>60</v>
      </c>
      <c r="L38" s="1">
        <f>M38-1</f>
        <v>8</v>
      </c>
      <c r="M38" s="1">
        <f>N38-1</f>
        <v>9</v>
      </c>
      <c r="N38" s="1">
        <f>$C$4</f>
        <v>10</v>
      </c>
      <c r="O38" s="1">
        <f>N38+1</f>
        <v>11</v>
      </c>
      <c r="P38" s="1">
        <f>O38+1</f>
        <v>12</v>
      </c>
    </row>
    <row r="39" spans="2:16" ht="13.5" thickBot="1">
      <c r="B39" s="4" t="s">
        <v>54</v>
      </c>
      <c r="C39" s="28">
        <v>0</v>
      </c>
      <c r="D39" s="5"/>
      <c r="E39" s="28">
        <v>0</v>
      </c>
      <c r="F39" s="65">
        <f>E39-C39</f>
        <v>0</v>
      </c>
      <c r="G39" s="65"/>
      <c r="K39" s="72">
        <f>K40*0.95</f>
        <v>0</v>
      </c>
      <c r="L39" s="84">
        <f>($K39-$C$6-$C$7-$C$8-$C$9)/(L$38*$C$2/100)</f>
        <v>0</v>
      </c>
      <c r="M39" s="86">
        <f aca="true" t="shared" si="7" ref="M39:P43">($K39-$C$6-$C$7-$C$8-$C$9)/(M$38*$C$2/100)</f>
        <v>0</v>
      </c>
      <c r="N39" s="86">
        <f t="shared" si="7"/>
        <v>0</v>
      </c>
      <c r="O39" s="86">
        <f t="shared" si="7"/>
        <v>0</v>
      </c>
      <c r="P39" s="87">
        <f t="shared" si="7"/>
        <v>0</v>
      </c>
    </row>
    <row r="40" spans="2:16" ht="13.5" thickBot="1">
      <c r="B40" s="4"/>
      <c r="C40" s="28"/>
      <c r="D40" s="5"/>
      <c r="E40" s="28"/>
      <c r="F40" s="66" t="s">
        <v>55</v>
      </c>
      <c r="G40" s="66"/>
      <c r="K40" s="6">
        <f>$C$25</f>
        <v>0</v>
      </c>
      <c r="L40" s="88">
        <f>($K40-$C$6-$C$7-$C$8-$C$9)/(L$38*$C$2/100)</f>
        <v>0</v>
      </c>
      <c r="M40" s="85">
        <f t="shared" si="7"/>
        <v>0</v>
      </c>
      <c r="N40" s="96">
        <f t="shared" si="7"/>
        <v>0</v>
      </c>
      <c r="O40" s="85">
        <f t="shared" si="7"/>
        <v>0</v>
      </c>
      <c r="P40" s="89">
        <f t="shared" si="7"/>
        <v>0</v>
      </c>
    </row>
    <row r="41" spans="2:16" ht="12.75">
      <c r="B41" s="4" t="s">
        <v>56</v>
      </c>
      <c r="C41" s="28">
        <v>0</v>
      </c>
      <c r="D41" s="5"/>
      <c r="E41" s="28">
        <v>0</v>
      </c>
      <c r="F41" s="65">
        <f>-(E41-C41)</f>
        <v>0</v>
      </c>
      <c r="G41" s="65"/>
      <c r="K41" s="72">
        <f>K40*1.05</f>
        <v>0</v>
      </c>
      <c r="L41" s="88">
        <f>($K41-$C$6-$C$7-$C$8-$C$9)/(L$38*$C$2/100)</f>
        <v>0</v>
      </c>
      <c r="M41" s="85">
        <f t="shared" si="7"/>
        <v>0</v>
      </c>
      <c r="N41" s="85">
        <f t="shared" si="7"/>
        <v>0</v>
      </c>
      <c r="O41" s="85">
        <f t="shared" si="7"/>
        <v>0</v>
      </c>
      <c r="P41" s="89">
        <f t="shared" si="7"/>
        <v>0</v>
      </c>
    </row>
    <row r="42" spans="2:16" ht="12.75">
      <c r="B42" s="4"/>
      <c r="F42" s="1"/>
      <c r="G42" s="1"/>
      <c r="K42" s="72">
        <f>K40*1.1</f>
        <v>0</v>
      </c>
      <c r="L42" s="88">
        <f>($K42-$C$6-$C$7-$C$8-$C$9)/(L$38*$C$2/100)</f>
        <v>0</v>
      </c>
      <c r="M42" s="85">
        <f t="shared" si="7"/>
        <v>0</v>
      </c>
      <c r="N42" s="85">
        <f t="shared" si="7"/>
        <v>0</v>
      </c>
      <c r="O42" s="85">
        <f t="shared" si="7"/>
        <v>0</v>
      </c>
      <c r="P42" s="89">
        <f t="shared" si="7"/>
        <v>0</v>
      </c>
    </row>
    <row r="43" spans="11:16" ht="12.75">
      <c r="K43" s="72">
        <f>K40*1.15</f>
        <v>0</v>
      </c>
      <c r="L43" s="90">
        <f>($K43-$C$6-$C$7-$C$8-$C$9)/(L$38*$C$2/100)</f>
        <v>0</v>
      </c>
      <c r="M43" s="91">
        <f t="shared" si="7"/>
        <v>0</v>
      </c>
      <c r="N43" s="91">
        <f t="shared" si="7"/>
        <v>0</v>
      </c>
      <c r="O43" s="91">
        <f t="shared" si="7"/>
        <v>0</v>
      </c>
      <c r="P43" s="92">
        <f t="shared" si="7"/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" width="33.140625" style="4" bestFit="1" customWidth="1"/>
    <col min="3" max="3" width="11.57421875" style="0" customWidth="1"/>
    <col min="4" max="4" width="3.00390625" style="0" customWidth="1"/>
    <col min="5" max="5" width="11.28125" style="0" customWidth="1"/>
    <col min="6" max="6" width="11.28125" style="1" bestFit="1" customWidth="1"/>
    <col min="7" max="7" width="1.28515625" style="1" customWidth="1"/>
    <col min="10" max="10" width="1.1484375" style="0" customWidth="1"/>
    <col min="11" max="11" width="9.8515625" style="0" bestFit="1" customWidth="1"/>
    <col min="14" max="14" width="9.7109375" style="0" bestFit="1" customWidth="1"/>
  </cols>
  <sheetData>
    <row r="1" ht="12.75">
      <c r="A1" s="30" t="s">
        <v>25</v>
      </c>
    </row>
    <row r="2" spans="1:14" ht="12.75">
      <c r="A2" s="32"/>
      <c r="B2" s="4" t="s">
        <v>0</v>
      </c>
      <c r="C2" s="53">
        <v>1</v>
      </c>
      <c r="E2" s="7"/>
      <c r="N2" s="5"/>
    </row>
    <row r="3" spans="1:14" ht="12.75">
      <c r="A3" s="32"/>
      <c r="B3" s="4" t="s">
        <v>16</v>
      </c>
      <c r="C3" s="26">
        <v>22000</v>
      </c>
      <c r="N3" s="5"/>
    </row>
    <row r="4" spans="1:14" ht="12.75">
      <c r="A4" s="32"/>
      <c r="B4" s="4" t="s">
        <v>17</v>
      </c>
      <c r="C4" s="27">
        <v>16</v>
      </c>
      <c r="E4" s="3">
        <f>1-(E6-E5)/E5</f>
        <v>0.8636363636363636</v>
      </c>
      <c r="F4" s="1" t="s">
        <v>28</v>
      </c>
      <c r="I4" s="3"/>
      <c r="J4" s="3"/>
      <c r="N4" s="5"/>
    </row>
    <row r="5" spans="1:6" ht="12.75">
      <c r="A5" s="68"/>
      <c r="B5" s="4" t="s">
        <v>18</v>
      </c>
      <c r="C5" s="5">
        <f>C2*C3*C4/100</f>
        <v>3520</v>
      </c>
      <c r="D5" s="6"/>
      <c r="E5" s="8">
        <f>C2*C3/100</f>
        <v>220</v>
      </c>
      <c r="F5" s="1" t="s">
        <v>22</v>
      </c>
    </row>
    <row r="6" spans="1:6" ht="12.75">
      <c r="A6" s="69"/>
      <c r="B6" s="4" t="s">
        <v>1</v>
      </c>
      <c r="C6" s="49">
        <v>480</v>
      </c>
      <c r="D6" s="6"/>
      <c r="E6" s="8">
        <f>C10/C4</f>
        <v>250</v>
      </c>
      <c r="F6" s="1" t="s">
        <v>21</v>
      </c>
    </row>
    <row r="7" spans="1:4" ht="12.75">
      <c r="A7" s="69"/>
      <c r="B7" s="4" t="s">
        <v>19</v>
      </c>
      <c r="C7" s="49">
        <v>0</v>
      </c>
      <c r="D7" s="6"/>
    </row>
    <row r="8" spans="1:4" ht="12.75">
      <c r="A8" s="69"/>
      <c r="B8" s="4" t="s">
        <v>23</v>
      </c>
      <c r="C8" s="50">
        <v>0</v>
      </c>
      <c r="D8" s="6"/>
    </row>
    <row r="9" spans="1:4" ht="13.5" thickBot="1">
      <c r="A9" s="69"/>
      <c r="B9" s="33" t="s">
        <v>20</v>
      </c>
      <c r="C9" s="52">
        <v>0</v>
      </c>
      <c r="D9" s="6"/>
    </row>
    <row r="10" spans="1:4" ht="13.5" thickTop="1">
      <c r="A10" s="68"/>
      <c r="B10" s="4" t="s">
        <v>41</v>
      </c>
      <c r="C10" s="6">
        <f>SUM(C5:C9)</f>
        <v>4000</v>
      </c>
      <c r="D10" s="6"/>
    </row>
    <row r="11" spans="1:10" ht="12.75">
      <c r="A11" s="68"/>
      <c r="C11" s="6"/>
      <c r="D11" s="6"/>
      <c r="E11" s="67" t="s">
        <v>15</v>
      </c>
      <c r="F11" s="1">
        <f>C10/E5</f>
        <v>18.181818181818183</v>
      </c>
      <c r="I11" s="2">
        <f>C4</f>
        <v>16</v>
      </c>
      <c r="J11" s="1" t="s">
        <v>14</v>
      </c>
    </row>
    <row r="12" spans="1:11" ht="12.75">
      <c r="A12" s="32"/>
      <c r="C12" s="6"/>
      <c r="D12" s="6"/>
      <c r="F12" s="35" t="s">
        <v>33</v>
      </c>
      <c r="G12" s="42"/>
      <c r="I12" s="37" t="s">
        <v>33</v>
      </c>
      <c r="J12" s="23"/>
      <c r="K12" s="11" t="s">
        <v>11</v>
      </c>
    </row>
    <row r="13" spans="1:12" ht="12.75">
      <c r="A13" s="32"/>
      <c r="C13" s="6"/>
      <c r="D13" s="6"/>
      <c r="E13" s="11" t="s">
        <v>31</v>
      </c>
      <c r="F13" s="35" t="s">
        <v>31</v>
      </c>
      <c r="G13" s="42"/>
      <c r="H13" s="11" t="s">
        <v>31</v>
      </c>
      <c r="I13" s="38" t="s">
        <v>31</v>
      </c>
      <c r="J13" s="23"/>
      <c r="K13" s="11" t="s">
        <v>37</v>
      </c>
      <c r="L13" s="40" t="s">
        <v>11</v>
      </c>
    </row>
    <row r="14" spans="1:14" ht="12.75">
      <c r="A14" s="32"/>
      <c r="C14" s="6"/>
      <c r="D14" s="21"/>
      <c r="E14" s="11" t="s">
        <v>32</v>
      </c>
      <c r="F14" s="35" t="s">
        <v>32</v>
      </c>
      <c r="G14" s="42"/>
      <c r="H14" s="11" t="s">
        <v>32</v>
      </c>
      <c r="I14" s="38" t="s">
        <v>32</v>
      </c>
      <c r="J14" s="23"/>
      <c r="K14" s="11" t="s">
        <v>31</v>
      </c>
      <c r="L14" s="40" t="s">
        <v>37</v>
      </c>
      <c r="M14" s="11"/>
      <c r="N14" s="32"/>
    </row>
    <row r="15" spans="1:14" ht="12.75">
      <c r="A15" s="70"/>
      <c r="C15" s="22" t="s">
        <v>8</v>
      </c>
      <c r="E15" s="34" t="s">
        <v>34</v>
      </c>
      <c r="F15" s="36" t="s">
        <v>34</v>
      </c>
      <c r="G15" s="43"/>
      <c r="H15" s="34" t="s">
        <v>12</v>
      </c>
      <c r="I15" s="39" t="s">
        <v>12</v>
      </c>
      <c r="J15" s="23"/>
      <c r="K15" s="34" t="s">
        <v>39</v>
      </c>
      <c r="L15" s="41" t="s">
        <v>38</v>
      </c>
      <c r="M15" s="11"/>
      <c r="N15" s="9"/>
    </row>
    <row r="16" spans="1:14" ht="12.75">
      <c r="A16" s="69"/>
      <c r="B16" s="4" t="s">
        <v>10</v>
      </c>
      <c r="C16" s="28">
        <v>800</v>
      </c>
      <c r="E16" s="1">
        <f aca="true" t="shared" si="0" ref="E16:E24">C16/$E$5</f>
        <v>3.6363636363636362</v>
      </c>
      <c r="F16" s="1">
        <f>E16</f>
        <v>3.6363636363636362</v>
      </c>
      <c r="G16" s="44"/>
      <c r="H16" s="1">
        <f aca="true" t="shared" si="1" ref="H16:H24">C16/$E$6</f>
        <v>3.2</v>
      </c>
      <c r="I16" s="1">
        <f>H16</f>
        <v>3.2</v>
      </c>
      <c r="J16" s="16"/>
      <c r="K16" s="13">
        <f aca="true" t="shared" si="2" ref="K16:K24">(C16-$C$6-$C$7-$C$8-$C$9)/$E$5</f>
        <v>1.4545454545454546</v>
      </c>
      <c r="L16" s="13">
        <f>(C16-$C$6-$C$7-$C$8-$C$9)/$E$5</f>
        <v>1.4545454545454546</v>
      </c>
      <c r="M16" s="13"/>
      <c r="N16" s="9"/>
    </row>
    <row r="17" spans="1:14" ht="12.75">
      <c r="A17" s="69"/>
      <c r="B17" s="4" t="s">
        <v>5</v>
      </c>
      <c r="C17" s="28">
        <v>1340</v>
      </c>
      <c r="E17" s="1">
        <f t="shared" si="0"/>
        <v>6.090909090909091</v>
      </c>
      <c r="F17" s="1">
        <f aca="true" t="shared" si="3" ref="F17:F24">F16+E17</f>
        <v>9.727272727272727</v>
      </c>
      <c r="G17" s="44"/>
      <c r="H17" s="1">
        <f t="shared" si="1"/>
        <v>5.36</v>
      </c>
      <c r="I17" s="1">
        <f aca="true" t="shared" si="4" ref="I17:I24">I16+H17</f>
        <v>8.56</v>
      </c>
      <c r="J17" s="16"/>
      <c r="K17" s="13">
        <f t="shared" si="2"/>
        <v>3.909090909090909</v>
      </c>
      <c r="L17" s="13">
        <f>(C16+C17-$C$6-$C$7-$C$8-$C$9)/$E$5</f>
        <v>7.545454545454546</v>
      </c>
      <c r="M17" s="13"/>
      <c r="N17" s="9"/>
    </row>
    <row r="18" spans="1:14" ht="12.75">
      <c r="A18" s="69"/>
      <c r="B18" s="4" t="s">
        <v>24</v>
      </c>
      <c r="C18" s="50">
        <f>A18*$C$2</f>
        <v>0</v>
      </c>
      <c r="E18" s="1">
        <f t="shared" si="0"/>
        <v>0</v>
      </c>
      <c r="F18" s="1">
        <f>F17+E18</f>
        <v>9.727272727272727</v>
      </c>
      <c r="G18" s="44"/>
      <c r="H18" s="1">
        <f t="shared" si="1"/>
        <v>0</v>
      </c>
      <c r="I18" s="1">
        <f>I17+H18</f>
        <v>8.56</v>
      </c>
      <c r="J18" s="16"/>
      <c r="K18" s="13">
        <f t="shared" si="2"/>
        <v>-2.1818181818181817</v>
      </c>
      <c r="L18" s="13">
        <f>(C16+C17+C18-$C$6-$C$7-$C$8-$C$9)/$E$5</f>
        <v>7.545454545454546</v>
      </c>
      <c r="M18" s="13"/>
      <c r="N18" s="9"/>
    </row>
    <row r="19" spans="1:14" ht="12.75">
      <c r="A19" s="69"/>
      <c r="B19" s="31" t="s">
        <v>26</v>
      </c>
      <c r="C19" s="50">
        <f>A19*$C$2</f>
        <v>0</v>
      </c>
      <c r="E19" s="1">
        <f t="shared" si="0"/>
        <v>0</v>
      </c>
      <c r="F19" s="1">
        <f>F18+E19</f>
        <v>9.727272727272727</v>
      </c>
      <c r="G19" s="44"/>
      <c r="H19" s="1">
        <f t="shared" si="1"/>
        <v>0</v>
      </c>
      <c r="I19" s="1">
        <f>I18+H19</f>
        <v>8.56</v>
      </c>
      <c r="J19" s="16"/>
      <c r="K19" s="13">
        <f t="shared" si="2"/>
        <v>-2.1818181818181817</v>
      </c>
      <c r="L19" s="13">
        <f>(C16+C17+C18+C19-$C$6-$C$7-$C$8-$C$9)/$E$5</f>
        <v>7.545454545454546</v>
      </c>
      <c r="M19" s="13"/>
      <c r="N19" s="9"/>
    </row>
    <row r="20" spans="1:14" ht="12.75">
      <c r="A20" s="69"/>
      <c r="B20" s="4" t="s">
        <v>2</v>
      </c>
      <c r="C20" s="28">
        <v>300</v>
      </c>
      <c r="E20" s="1">
        <f t="shared" si="0"/>
        <v>1.3636363636363635</v>
      </c>
      <c r="F20" s="1">
        <f>F19+E20</f>
        <v>11.09090909090909</v>
      </c>
      <c r="G20" s="44"/>
      <c r="H20" s="1">
        <f t="shared" si="1"/>
        <v>1.2</v>
      </c>
      <c r="I20" s="1">
        <f>I19+H20</f>
        <v>9.76</v>
      </c>
      <c r="J20" s="16"/>
      <c r="K20" s="13">
        <f t="shared" si="2"/>
        <v>-0.8181818181818182</v>
      </c>
      <c r="L20" s="13">
        <f>(C16+C17+C18+C19+C20-$C$6-$C$7-$C$8-$C$9)/$E$5</f>
        <v>8.909090909090908</v>
      </c>
      <c r="M20" s="13"/>
      <c r="N20" s="9"/>
    </row>
    <row r="21" spans="1:14" ht="12.75">
      <c r="A21" s="69"/>
      <c r="B21" s="4" t="s">
        <v>3</v>
      </c>
      <c r="C21" s="28">
        <v>200</v>
      </c>
      <c r="E21" s="1">
        <f t="shared" si="0"/>
        <v>0.9090909090909091</v>
      </c>
      <c r="F21" s="14">
        <f t="shared" si="3"/>
        <v>11.999999999999998</v>
      </c>
      <c r="G21" s="45"/>
      <c r="H21" s="12">
        <f t="shared" si="1"/>
        <v>0.8</v>
      </c>
      <c r="I21" s="14">
        <f t="shared" si="4"/>
        <v>10.56</v>
      </c>
      <c r="J21" s="24"/>
      <c r="K21" s="13">
        <f t="shared" si="2"/>
        <v>-1.2727272727272727</v>
      </c>
      <c r="L21" s="15">
        <f>(C16+C17+C18+C19+C20+C21-$C$6-$C$7-$C$8-$C$9)/$E$5</f>
        <v>9.818181818181818</v>
      </c>
      <c r="M21" s="19"/>
      <c r="N21" s="9"/>
    </row>
    <row r="22" spans="1:14" ht="13.5" thickBot="1">
      <c r="A22" s="69"/>
      <c r="B22" s="4" t="s">
        <v>6</v>
      </c>
      <c r="C22" s="28">
        <v>400</v>
      </c>
      <c r="E22" s="1">
        <f t="shared" si="0"/>
        <v>1.8181818181818181</v>
      </c>
      <c r="F22" s="10">
        <f t="shared" si="3"/>
        <v>13.818181818181817</v>
      </c>
      <c r="G22" s="45"/>
      <c r="H22" s="1">
        <f t="shared" si="1"/>
        <v>1.6</v>
      </c>
      <c r="I22" s="10">
        <f t="shared" si="4"/>
        <v>12.16</v>
      </c>
      <c r="J22" s="24"/>
      <c r="K22" s="13">
        <f t="shared" si="2"/>
        <v>-0.36363636363636365</v>
      </c>
      <c r="L22" s="20">
        <f>(C16+C17+C18+C19+C20+C21+C22-$C$6-$C$7-$C$8-$C$9)/$E$5</f>
        <v>11.636363636363637</v>
      </c>
      <c r="M22" s="19"/>
      <c r="N22" s="9"/>
    </row>
    <row r="23" spans="1:14" ht="12.75">
      <c r="A23" s="69"/>
      <c r="B23" s="4" t="s">
        <v>4</v>
      </c>
      <c r="C23" s="28">
        <v>300</v>
      </c>
      <c r="E23" s="1">
        <f t="shared" si="0"/>
        <v>1.3636363636363635</v>
      </c>
      <c r="F23" s="1">
        <f t="shared" si="3"/>
        <v>15.18181818181818</v>
      </c>
      <c r="G23" s="44"/>
      <c r="H23" s="1">
        <f t="shared" si="1"/>
        <v>1.2</v>
      </c>
      <c r="I23" s="1">
        <f t="shared" si="4"/>
        <v>13.36</v>
      </c>
      <c r="J23" s="16"/>
      <c r="K23" s="13">
        <f t="shared" si="2"/>
        <v>-0.8181818181818182</v>
      </c>
      <c r="L23" s="19">
        <f>(C16+C17+C18+C19+C20+C21+C22+C23-$C$6-$C$7-$C$8-$C$9)/$E$5</f>
        <v>13</v>
      </c>
      <c r="M23" s="19"/>
      <c r="N23" s="9"/>
    </row>
    <row r="24" spans="1:14" ht="13.5" thickBot="1">
      <c r="A24" s="69"/>
      <c r="B24" s="33" t="s">
        <v>7</v>
      </c>
      <c r="C24" s="29">
        <v>400</v>
      </c>
      <c r="E24" s="12">
        <f t="shared" si="0"/>
        <v>1.8181818181818181</v>
      </c>
      <c r="F24" s="1">
        <f t="shared" si="3"/>
        <v>16.999999999999996</v>
      </c>
      <c r="G24" s="44"/>
      <c r="H24" s="1">
        <f t="shared" si="1"/>
        <v>1.6</v>
      </c>
      <c r="I24" s="1">
        <f t="shared" si="4"/>
        <v>14.959999999999999</v>
      </c>
      <c r="J24" s="16"/>
      <c r="K24" s="13">
        <f t="shared" si="2"/>
        <v>-0.36363636363636365</v>
      </c>
      <c r="L24" s="13">
        <f>(C16+C17+C18+C19+C20+C21+C23+C22+C24-$C$6-$C$7-$C$8-$C$9)/$E$5</f>
        <v>14.818181818181818</v>
      </c>
      <c r="M24" s="13"/>
      <c r="N24" s="9"/>
    </row>
    <row r="25" spans="1:14" ht="13.5" thickTop="1">
      <c r="A25" s="9"/>
      <c r="B25" s="4" t="s">
        <v>42</v>
      </c>
      <c r="C25" s="5">
        <f>SUM(C16:C24)</f>
        <v>3740</v>
      </c>
      <c r="D25" s="5"/>
      <c r="E25" s="1"/>
      <c r="N25" s="9"/>
    </row>
    <row r="26" spans="1:14" ht="12.75">
      <c r="A26" s="9"/>
      <c r="C26" s="5"/>
      <c r="D26" s="5"/>
      <c r="E26" s="1"/>
      <c r="N26" s="9"/>
    </row>
    <row r="27" spans="1:5" ht="12.75">
      <c r="A27" s="32"/>
      <c r="C27" s="4" t="s">
        <v>35</v>
      </c>
      <c r="D27" s="6" t="s">
        <v>44</v>
      </c>
      <c r="E27" s="16">
        <f>$C$25/E5</f>
        <v>17</v>
      </c>
    </row>
    <row r="28" spans="1:5" ht="12.75">
      <c r="A28" s="32"/>
      <c r="C28" s="4" t="s">
        <v>36</v>
      </c>
      <c r="D28" s="6" t="s">
        <v>44</v>
      </c>
      <c r="E28" s="17">
        <f>$C$25/E6</f>
        <v>14.96</v>
      </c>
    </row>
    <row r="29" spans="1:5" ht="12.75">
      <c r="A29" s="32"/>
      <c r="C29" s="4" t="s">
        <v>43</v>
      </c>
      <c r="D29" s="6" t="s">
        <v>44</v>
      </c>
      <c r="E29" s="18">
        <f>E30/E5</f>
        <v>14.818181818181818</v>
      </c>
    </row>
    <row r="30" spans="1:5" ht="12.75">
      <c r="A30" s="32"/>
      <c r="C30" s="6"/>
      <c r="D30" s="46" t="s">
        <v>40</v>
      </c>
      <c r="E30" s="6">
        <f>C25-C6-C7-C8-C9</f>
        <v>3260</v>
      </c>
    </row>
    <row r="31" spans="1:4" ht="12.75">
      <c r="A31" s="32"/>
      <c r="D31" s="6"/>
    </row>
    <row r="32" spans="1:8" ht="12.75">
      <c r="A32" s="32"/>
      <c r="E32" s="4" t="s">
        <v>27</v>
      </c>
      <c r="F32" s="6">
        <f>C10-C25</f>
        <v>260</v>
      </c>
      <c r="G32" s="6"/>
      <c r="H32" t="s">
        <v>45</v>
      </c>
    </row>
    <row r="33" spans="1:8" ht="12.75">
      <c r="A33" s="32"/>
      <c r="E33" s="4" t="s">
        <v>13</v>
      </c>
      <c r="F33" s="6">
        <f>F32+C24+C22</f>
        <v>1060</v>
      </c>
      <c r="G33" s="6"/>
      <c r="H33" t="s">
        <v>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12.28125" style="0" bestFit="1" customWidth="1"/>
    <col min="2" max="2" width="33.140625" style="0" bestFit="1" customWidth="1"/>
    <col min="3" max="3" width="11.57421875" style="0" customWidth="1"/>
    <col min="4" max="4" width="3.00390625" style="0" customWidth="1"/>
    <col min="5" max="5" width="11.28125" style="0" customWidth="1"/>
    <col min="6" max="6" width="11.28125" style="0" bestFit="1" customWidth="1"/>
    <col min="7" max="7" width="2.28125" style="0" customWidth="1"/>
    <col min="10" max="10" width="2.00390625" style="0" customWidth="1"/>
    <col min="11" max="11" width="9.8515625" style="0" bestFit="1" customWidth="1"/>
  </cols>
  <sheetData>
    <row r="1" spans="1:7" ht="12.75">
      <c r="A1" s="30" t="s">
        <v>25</v>
      </c>
      <c r="B1" s="4"/>
      <c r="F1" s="1"/>
      <c r="G1" s="1"/>
    </row>
    <row r="2" spans="2:7" ht="12.75">
      <c r="B2" s="4" t="s">
        <v>0</v>
      </c>
      <c r="C2" s="25">
        <v>110</v>
      </c>
      <c r="E2" s="7"/>
      <c r="F2" s="1"/>
      <c r="G2" s="1"/>
    </row>
    <row r="3" spans="2:7" ht="12.75">
      <c r="B3" s="4" t="s">
        <v>16</v>
      </c>
      <c r="C3" s="26">
        <v>22000</v>
      </c>
      <c r="F3" s="1"/>
      <c r="G3" s="1"/>
    </row>
    <row r="4" spans="1:10" ht="12.75">
      <c r="A4" s="47" t="s">
        <v>8</v>
      </c>
      <c r="B4" s="4" t="s">
        <v>17</v>
      </c>
      <c r="C4" s="27">
        <v>16</v>
      </c>
      <c r="E4" s="3">
        <f>1-(E6-E5)/E5</f>
        <v>0.7855113636363636</v>
      </c>
      <c r="F4" s="1" t="s">
        <v>28</v>
      </c>
      <c r="G4" s="1"/>
      <c r="I4" s="3"/>
      <c r="J4" s="3"/>
    </row>
    <row r="5" spans="1:7" ht="12.75">
      <c r="A5" s="48">
        <f>C5/$C$2</f>
        <v>3520</v>
      </c>
      <c r="B5" s="4" t="s">
        <v>18</v>
      </c>
      <c r="C5" s="5">
        <f>C2*C3*C4/100</f>
        <v>387200</v>
      </c>
      <c r="D5" s="6"/>
      <c r="E5" s="8">
        <f>C2*C3/100</f>
        <v>24200</v>
      </c>
      <c r="F5" s="1" t="s">
        <v>22</v>
      </c>
      <c r="G5" s="1"/>
    </row>
    <row r="6" spans="1:7" ht="12.75">
      <c r="A6" s="48">
        <f>C6/$C$2</f>
        <v>480</v>
      </c>
      <c r="B6" s="4" t="s">
        <v>1</v>
      </c>
      <c r="C6" s="49">
        <v>52800</v>
      </c>
      <c r="D6" s="6"/>
      <c r="E6" s="8">
        <f>C10/C4</f>
        <v>29390.625</v>
      </c>
      <c r="F6" s="1" t="s">
        <v>21</v>
      </c>
      <c r="G6" s="1"/>
    </row>
    <row r="7" spans="1:7" ht="12.75">
      <c r="A7" s="48">
        <f>C7/$C$2</f>
        <v>125</v>
      </c>
      <c r="B7" s="4" t="s">
        <v>19</v>
      </c>
      <c r="C7" s="49">
        <v>13750</v>
      </c>
      <c r="D7" s="6"/>
      <c r="F7" s="1"/>
      <c r="G7" s="1"/>
    </row>
    <row r="8" spans="1:7" ht="12.75">
      <c r="A8" s="48">
        <f>C8/$C$2</f>
        <v>0</v>
      </c>
      <c r="B8" s="4" t="s">
        <v>23</v>
      </c>
      <c r="C8" s="50">
        <v>0</v>
      </c>
      <c r="D8" s="6"/>
      <c r="F8" s="1"/>
      <c r="G8" s="1"/>
    </row>
    <row r="9" spans="1:7" ht="13.5" thickBot="1">
      <c r="A9" s="51">
        <f>C9/$C$2</f>
        <v>150</v>
      </c>
      <c r="B9" s="33" t="s">
        <v>20</v>
      </c>
      <c r="C9" s="52">
        <v>16500</v>
      </c>
      <c r="D9" s="6"/>
      <c r="G9" s="1"/>
    </row>
    <row r="10" spans="1:7" ht="13.5" thickTop="1">
      <c r="A10" s="48">
        <f>SUM(A5:A9)</f>
        <v>4275</v>
      </c>
      <c r="B10" s="4" t="s">
        <v>29</v>
      </c>
      <c r="C10" s="6">
        <f>SUM(C5:C9)</f>
        <v>470250</v>
      </c>
      <c r="D10" s="6"/>
      <c r="G10" s="1"/>
    </row>
    <row r="11" spans="1:10" ht="12.75">
      <c r="A11" s="48"/>
      <c r="B11" s="4"/>
      <c r="C11" s="6"/>
      <c r="D11" s="6"/>
      <c r="E11" s="67" t="s">
        <v>15</v>
      </c>
      <c r="F11" s="1">
        <f>C10/E5</f>
        <v>19.431818181818183</v>
      </c>
      <c r="G11" s="1"/>
      <c r="I11" s="2">
        <f>C4</f>
        <v>16</v>
      </c>
      <c r="J11" s="1" t="s">
        <v>14</v>
      </c>
    </row>
    <row r="12" spans="1:10" ht="12.75">
      <c r="A12" s="53"/>
      <c r="B12" s="4"/>
      <c r="C12" s="6"/>
      <c r="D12" s="6"/>
      <c r="F12" s="35" t="s">
        <v>33</v>
      </c>
      <c r="G12" s="54"/>
      <c r="I12" s="54" t="s">
        <v>33</v>
      </c>
      <c r="J12" s="23"/>
    </row>
    <row r="13" spans="1:10" ht="12.75">
      <c r="A13" s="53"/>
      <c r="B13" s="4"/>
      <c r="C13" s="6"/>
      <c r="D13" s="6"/>
      <c r="E13" s="11" t="s">
        <v>31</v>
      </c>
      <c r="F13" s="35" t="s">
        <v>31</v>
      </c>
      <c r="G13" s="54"/>
      <c r="H13" s="11" t="s">
        <v>31</v>
      </c>
      <c r="I13" s="55" t="s">
        <v>31</v>
      </c>
      <c r="J13" s="23"/>
    </row>
    <row r="14" spans="1:13" ht="12.75">
      <c r="A14" s="53"/>
      <c r="B14" s="4"/>
      <c r="C14" s="6"/>
      <c r="D14" s="21"/>
      <c r="E14" s="11" t="s">
        <v>32</v>
      </c>
      <c r="F14" s="35" t="s">
        <v>32</v>
      </c>
      <c r="G14" s="54"/>
      <c r="H14" s="11" t="s">
        <v>32</v>
      </c>
      <c r="I14" s="55" t="s">
        <v>32</v>
      </c>
      <c r="J14" s="23"/>
      <c r="K14" s="11" t="s">
        <v>11</v>
      </c>
      <c r="L14" s="11" t="s">
        <v>11</v>
      </c>
      <c r="M14" s="11"/>
    </row>
    <row r="15" spans="1:13" ht="12.75">
      <c r="A15" s="56" t="s">
        <v>8</v>
      </c>
      <c r="B15" s="4"/>
      <c r="C15" s="22" t="s">
        <v>9</v>
      </c>
      <c r="E15" s="34" t="s">
        <v>34</v>
      </c>
      <c r="F15" s="36" t="s">
        <v>34</v>
      </c>
      <c r="G15" s="57"/>
      <c r="H15" s="34" t="s">
        <v>12</v>
      </c>
      <c r="I15" s="58" t="s">
        <v>12</v>
      </c>
      <c r="J15" s="23"/>
      <c r="K15" s="11" t="s">
        <v>46</v>
      </c>
      <c r="L15" s="11" t="s">
        <v>47</v>
      </c>
      <c r="M15" s="11"/>
    </row>
    <row r="16" spans="1:13" ht="12.75">
      <c r="A16" s="48">
        <f aca="true" t="shared" si="0" ref="A16:A24">C16/$C$2</f>
        <v>800</v>
      </c>
      <c r="B16" s="4" t="s">
        <v>10</v>
      </c>
      <c r="C16" s="28">
        <v>88000</v>
      </c>
      <c r="E16" s="1">
        <f aca="true" t="shared" si="1" ref="E16:E24">C16/$E$5</f>
        <v>3.6363636363636362</v>
      </c>
      <c r="F16" s="1">
        <f>E16</f>
        <v>3.6363636363636362</v>
      </c>
      <c r="G16" s="59"/>
      <c r="H16" s="1">
        <f aca="true" t="shared" si="2" ref="H16:H24">C16/$E$6</f>
        <v>2.9941520467836256</v>
      </c>
      <c r="I16" s="1">
        <f>H16</f>
        <v>2.9941520467836256</v>
      </c>
      <c r="J16" s="16"/>
      <c r="K16" s="13">
        <f aca="true" t="shared" si="3" ref="K16:K24">(C16-$C$6-$C$7-$C$8-$C$9)/$E$5</f>
        <v>0.20454545454545456</v>
      </c>
      <c r="L16" s="13">
        <f>(C16-$C$6-$C$7-$C$8-$C$9)/$E$5</f>
        <v>0.20454545454545456</v>
      </c>
      <c r="M16" s="13"/>
    </row>
    <row r="17" spans="1:13" ht="12.75">
      <c r="A17" s="48">
        <f t="shared" si="0"/>
        <v>1340</v>
      </c>
      <c r="B17" s="4" t="s">
        <v>5</v>
      </c>
      <c r="C17" s="28">
        <v>147400</v>
      </c>
      <c r="E17" s="1">
        <f t="shared" si="1"/>
        <v>6.090909090909091</v>
      </c>
      <c r="F17" s="1">
        <f aca="true" t="shared" si="4" ref="F17:F24">F16+E17</f>
        <v>9.727272727272727</v>
      </c>
      <c r="G17" s="59"/>
      <c r="H17" s="1">
        <f t="shared" si="2"/>
        <v>5.015204678362573</v>
      </c>
      <c r="I17" s="1">
        <f aca="true" t="shared" si="5" ref="I17:I24">I16+H17</f>
        <v>8.009356725146198</v>
      </c>
      <c r="J17" s="16"/>
      <c r="K17" s="13">
        <f t="shared" si="3"/>
        <v>2.659090909090909</v>
      </c>
      <c r="L17" s="13">
        <f>(C16+C17-$C$6-$C$7-$C$8-$C$9)/$E$5</f>
        <v>6.295454545454546</v>
      </c>
      <c r="M17" s="13"/>
    </row>
    <row r="18" spans="1:13" ht="12.75">
      <c r="A18" s="48">
        <f t="shared" si="0"/>
        <v>0</v>
      </c>
      <c r="B18" s="4" t="s">
        <v>24</v>
      </c>
      <c r="C18" s="50">
        <v>0</v>
      </c>
      <c r="E18" s="1">
        <f t="shared" si="1"/>
        <v>0</v>
      </c>
      <c r="F18" s="1">
        <f>F17+E18</f>
        <v>9.727272727272727</v>
      </c>
      <c r="G18" s="59"/>
      <c r="H18" s="1">
        <f t="shared" si="2"/>
        <v>0</v>
      </c>
      <c r="I18" s="1">
        <f>I17+H18</f>
        <v>8.009356725146198</v>
      </c>
      <c r="J18" s="16"/>
      <c r="K18" s="13">
        <f t="shared" si="3"/>
        <v>-3.4318181818181817</v>
      </c>
      <c r="L18" s="13">
        <f>(C16+C17+C18-$C$6-$C$7-$C$8-$C$9)/$E$5</f>
        <v>6.295454545454546</v>
      </c>
      <c r="M18" s="13"/>
    </row>
    <row r="19" spans="1:13" ht="12.75">
      <c r="A19" s="48">
        <f t="shared" si="0"/>
        <v>0</v>
      </c>
      <c r="B19" s="31" t="s">
        <v>26</v>
      </c>
      <c r="C19" s="50">
        <v>0</v>
      </c>
      <c r="E19" s="1">
        <f t="shared" si="1"/>
        <v>0</v>
      </c>
      <c r="F19" s="1">
        <f>F18+E19</f>
        <v>9.727272727272727</v>
      </c>
      <c r="G19" s="59"/>
      <c r="H19" s="1">
        <f t="shared" si="2"/>
        <v>0</v>
      </c>
      <c r="I19" s="1">
        <f>I18+H19</f>
        <v>8.009356725146198</v>
      </c>
      <c r="J19" s="16"/>
      <c r="K19" s="13">
        <f t="shared" si="3"/>
        <v>-3.4318181818181817</v>
      </c>
      <c r="L19" s="13">
        <f>(C16+C17+C18+C19-$C$6-$C$7-$C$8-$C$9)/$E$5</f>
        <v>6.295454545454546</v>
      </c>
      <c r="M19" s="13"/>
    </row>
    <row r="20" spans="1:13" ht="12.75">
      <c r="A20" s="48">
        <f t="shared" si="0"/>
        <v>300</v>
      </c>
      <c r="B20" s="4" t="s">
        <v>2</v>
      </c>
      <c r="C20" s="28">
        <v>33000</v>
      </c>
      <c r="E20" s="1">
        <f t="shared" si="1"/>
        <v>1.3636363636363635</v>
      </c>
      <c r="F20" s="1">
        <f>F19+E20</f>
        <v>11.09090909090909</v>
      </c>
      <c r="G20" s="59"/>
      <c r="H20" s="1">
        <f t="shared" si="2"/>
        <v>1.1228070175438596</v>
      </c>
      <c r="I20" s="1">
        <f>I19+H20</f>
        <v>9.132163742690057</v>
      </c>
      <c r="J20" s="16"/>
      <c r="K20" s="13">
        <f t="shared" si="3"/>
        <v>-2.0681818181818183</v>
      </c>
      <c r="L20" s="13">
        <f>(C16+C17+C18+C19+C20-$C$6-$C$7-$C$8-$C$9)/$E$5</f>
        <v>7.659090909090909</v>
      </c>
      <c r="M20" s="13"/>
    </row>
    <row r="21" spans="1:13" ht="12.75">
      <c r="A21" s="48">
        <f t="shared" si="0"/>
        <v>200</v>
      </c>
      <c r="B21" s="4" t="s">
        <v>3</v>
      </c>
      <c r="C21" s="28">
        <v>22000</v>
      </c>
      <c r="E21" s="1">
        <f t="shared" si="1"/>
        <v>0.9090909090909091</v>
      </c>
      <c r="F21" s="14">
        <f t="shared" si="4"/>
        <v>11.999999999999998</v>
      </c>
      <c r="G21" s="60"/>
      <c r="H21" s="12">
        <f t="shared" si="2"/>
        <v>0.7485380116959064</v>
      </c>
      <c r="I21" s="14">
        <f t="shared" si="5"/>
        <v>9.880701754385964</v>
      </c>
      <c r="J21" s="24"/>
      <c r="K21" s="13">
        <f t="shared" si="3"/>
        <v>-2.522727272727273</v>
      </c>
      <c r="L21" s="15">
        <f>(C16+C17+C18+C19+C20+C21-$C$6-$C$7-$C$8-$C$9)/$E$5</f>
        <v>8.568181818181818</v>
      </c>
      <c r="M21" s="19"/>
    </row>
    <row r="22" spans="1:13" ht="13.5" thickBot="1">
      <c r="A22" s="48">
        <f t="shared" si="0"/>
        <v>400</v>
      </c>
      <c r="B22" s="4" t="s">
        <v>6</v>
      </c>
      <c r="C22" s="28">
        <v>44000</v>
      </c>
      <c r="E22" s="1">
        <f t="shared" si="1"/>
        <v>1.8181818181818181</v>
      </c>
      <c r="F22" s="10">
        <f t="shared" si="4"/>
        <v>13.818181818181817</v>
      </c>
      <c r="G22" s="60"/>
      <c r="H22" s="1">
        <f t="shared" si="2"/>
        <v>1.4970760233918128</v>
      </c>
      <c r="I22" s="10">
        <f t="shared" si="5"/>
        <v>11.377777777777776</v>
      </c>
      <c r="J22" s="24"/>
      <c r="K22" s="13">
        <f t="shared" si="3"/>
        <v>-1.6136363636363635</v>
      </c>
      <c r="L22" s="20">
        <f>(C16+C17+C18+C19+C20+C21+C22-$C$6-$C$7-$C$8-$C$9)/$E$5</f>
        <v>10.386363636363637</v>
      </c>
      <c r="M22" s="19"/>
    </row>
    <row r="23" spans="1:13" ht="12.75">
      <c r="A23" s="48">
        <f t="shared" si="0"/>
        <v>300</v>
      </c>
      <c r="B23" s="4" t="s">
        <v>4</v>
      </c>
      <c r="C23" s="28">
        <v>33000</v>
      </c>
      <c r="E23" s="1">
        <f t="shared" si="1"/>
        <v>1.3636363636363635</v>
      </c>
      <c r="F23" s="1">
        <f t="shared" si="4"/>
        <v>15.18181818181818</v>
      </c>
      <c r="G23" s="59"/>
      <c r="H23" s="1">
        <f t="shared" si="2"/>
        <v>1.1228070175438596</v>
      </c>
      <c r="I23" s="1">
        <f t="shared" si="5"/>
        <v>12.500584795321636</v>
      </c>
      <c r="J23" s="16"/>
      <c r="K23" s="13">
        <f t="shared" si="3"/>
        <v>-2.0681818181818183</v>
      </c>
      <c r="L23" s="19">
        <f>(C16+C17+C18+C19+C20+C21+C22+C23-$C$6-$C$7-$C$8-$C$9)/$E$5</f>
        <v>11.75</v>
      </c>
      <c r="M23" s="19"/>
    </row>
    <row r="24" spans="1:13" ht="13.5" thickBot="1">
      <c r="A24" s="51">
        <f t="shared" si="0"/>
        <v>400</v>
      </c>
      <c r="B24" s="33" t="s">
        <v>7</v>
      </c>
      <c r="C24" s="29">
        <v>44000</v>
      </c>
      <c r="E24" s="12">
        <f t="shared" si="1"/>
        <v>1.8181818181818181</v>
      </c>
      <c r="F24" s="1">
        <f t="shared" si="4"/>
        <v>16.999999999999996</v>
      </c>
      <c r="G24" s="59"/>
      <c r="H24" s="1">
        <f t="shared" si="2"/>
        <v>1.4970760233918128</v>
      </c>
      <c r="I24" s="1">
        <f t="shared" si="5"/>
        <v>13.997660818713449</v>
      </c>
      <c r="J24" s="16"/>
      <c r="K24" s="13">
        <f t="shared" si="3"/>
        <v>-1.6136363636363635</v>
      </c>
      <c r="L24" s="13">
        <f>(C16+C17+C18+C19+C20+C21+C23+C22+C24-$C$6-$C$7-$C$8-$C$9)/$E$5</f>
        <v>13.568181818181818</v>
      </c>
      <c r="M24" s="13"/>
    </row>
    <row r="25" spans="1:7" ht="13.5" thickTop="1">
      <c r="A25" s="61">
        <f>SUM(A16:A24)</f>
        <v>3740</v>
      </c>
      <c r="B25" s="4" t="s">
        <v>30</v>
      </c>
      <c r="C25" s="5">
        <f>SUM(C16:C24)</f>
        <v>411400</v>
      </c>
      <c r="D25" s="5"/>
      <c r="E25" s="1"/>
      <c r="F25" s="1"/>
      <c r="G25" s="1"/>
    </row>
    <row r="26" spans="1:7" ht="12.75">
      <c r="A26" s="61"/>
      <c r="B26" s="4"/>
      <c r="C26" s="5"/>
      <c r="D26" s="5"/>
      <c r="E26" s="1"/>
      <c r="F26" s="1"/>
      <c r="G26" s="1"/>
    </row>
    <row r="27" spans="2:7" ht="12.75">
      <c r="B27" s="4"/>
      <c r="C27" s="4" t="s">
        <v>35</v>
      </c>
      <c r="D27" s="6" t="s">
        <v>44</v>
      </c>
      <c r="E27" s="16">
        <f>$C$25/E5</f>
        <v>17</v>
      </c>
      <c r="F27" s="1"/>
      <c r="G27" s="1"/>
    </row>
    <row r="28" spans="2:7" ht="12.75">
      <c r="B28" s="4"/>
      <c r="C28" s="4" t="s">
        <v>36</v>
      </c>
      <c r="D28" s="6" t="s">
        <v>44</v>
      </c>
      <c r="E28" s="17">
        <f>$C$25/E6</f>
        <v>13.99766081871345</v>
      </c>
      <c r="F28" s="1"/>
      <c r="G28" s="1"/>
    </row>
    <row r="29" spans="3:7" ht="12.75">
      <c r="C29" s="4" t="s">
        <v>43</v>
      </c>
      <c r="D29" s="6" t="s">
        <v>44</v>
      </c>
      <c r="E29" s="18">
        <f>(C25-C6-C7-C8-C9)/E5</f>
        <v>13.568181818181818</v>
      </c>
      <c r="F29" s="1"/>
      <c r="G29" s="1"/>
    </row>
    <row r="30" spans="2:7" ht="12.75">
      <c r="B30" s="4"/>
      <c r="D30" s="6"/>
      <c r="F30" s="1"/>
      <c r="G30" s="1"/>
    </row>
    <row r="31" spans="2:7" ht="12.75">
      <c r="B31" s="4"/>
      <c r="E31" s="4" t="s">
        <v>27</v>
      </c>
      <c r="F31" s="6">
        <f>C10-C25</f>
        <v>58850</v>
      </c>
      <c r="G31" s="6"/>
    </row>
    <row r="32" spans="2:7" ht="12.75">
      <c r="B32" s="4"/>
      <c r="E32" s="4" t="s">
        <v>13</v>
      </c>
      <c r="F32" s="6">
        <f>F31+C24+C22</f>
        <v>146850</v>
      </c>
      <c r="G32" s="6"/>
    </row>
    <row r="33" spans="2:7" ht="12.75">
      <c r="B33" s="4"/>
      <c r="E33" s="4"/>
      <c r="F33" s="6"/>
      <c r="G33" s="6"/>
    </row>
    <row r="34" spans="2:7" ht="12.75">
      <c r="B34" s="4"/>
      <c r="E34" s="4"/>
      <c r="F34" s="6"/>
      <c r="G34" s="6"/>
    </row>
    <row r="35" spans="2:7" ht="15.75">
      <c r="B35" s="4"/>
      <c r="C35" s="62" t="s">
        <v>48</v>
      </c>
      <c r="F35" s="1"/>
      <c r="G35" s="1"/>
    </row>
    <row r="36" spans="2:7" ht="12.75">
      <c r="B36" s="4"/>
      <c r="C36" s="34" t="s">
        <v>49</v>
      </c>
      <c r="E36" s="34" t="s">
        <v>50</v>
      </c>
      <c r="F36" s="63" t="s">
        <v>51</v>
      </c>
      <c r="G36" s="64"/>
    </row>
    <row r="37" spans="2:7" ht="12.75">
      <c r="B37" s="4" t="s">
        <v>52</v>
      </c>
      <c r="C37" s="28">
        <v>150000</v>
      </c>
      <c r="D37" s="5"/>
      <c r="E37" s="28">
        <v>150000</v>
      </c>
      <c r="F37" s="65">
        <f>E37-C37</f>
        <v>0</v>
      </c>
      <c r="G37" s="65"/>
    </row>
    <row r="38" spans="2:7" ht="12.75">
      <c r="B38" s="4" t="s">
        <v>53</v>
      </c>
      <c r="C38" s="28">
        <v>250000</v>
      </c>
      <c r="D38" s="5"/>
      <c r="E38" s="28">
        <v>266500</v>
      </c>
      <c r="F38" s="65">
        <f>E38-C38</f>
        <v>16500</v>
      </c>
      <c r="G38" s="65"/>
    </row>
    <row r="39" spans="2:7" ht="12.75">
      <c r="B39" s="4" t="s">
        <v>54</v>
      </c>
      <c r="C39" s="28">
        <v>10000</v>
      </c>
      <c r="D39" s="5"/>
      <c r="E39" s="28">
        <v>10000</v>
      </c>
      <c r="F39" s="65">
        <f>E39-C39</f>
        <v>0</v>
      </c>
      <c r="G39" s="65"/>
    </row>
    <row r="40" spans="2:7" ht="12.75">
      <c r="B40" s="4"/>
      <c r="C40" s="28"/>
      <c r="D40" s="5"/>
      <c r="E40" s="28"/>
      <c r="F40" s="66" t="s">
        <v>55</v>
      </c>
      <c r="G40" s="66"/>
    </row>
    <row r="41" spans="2:7" ht="12.75">
      <c r="B41" s="4" t="s">
        <v>56</v>
      </c>
      <c r="C41" s="28">
        <v>20000</v>
      </c>
      <c r="D41" s="5"/>
      <c r="E41" s="28">
        <v>20000</v>
      </c>
      <c r="F41" s="65">
        <f>-(E41-C41)</f>
        <v>0</v>
      </c>
      <c r="G41" s="65"/>
    </row>
    <row r="42" spans="2:7" ht="12.75">
      <c r="B42" s="4"/>
      <c r="F42" s="1"/>
      <c r="G42" s="1"/>
    </row>
    <row r="43" spans="2:7" ht="12.75">
      <c r="B43" s="4"/>
      <c r="F43" s="1"/>
      <c r="G43" s="1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28125" style="0" bestFit="1" customWidth="1"/>
    <col min="2" max="2" width="33.140625" style="0" bestFit="1" customWidth="1"/>
    <col min="3" max="3" width="11.57421875" style="0" customWidth="1"/>
    <col min="4" max="4" width="3.00390625" style="0" customWidth="1"/>
    <col min="5" max="5" width="11.28125" style="0" customWidth="1"/>
    <col min="6" max="6" width="11.28125" style="0" bestFit="1" customWidth="1"/>
    <col min="7" max="7" width="2.28125" style="0" customWidth="1"/>
    <col min="10" max="10" width="2.00390625" style="0" customWidth="1"/>
    <col min="11" max="11" width="11.421875" style="0" customWidth="1"/>
  </cols>
  <sheetData>
    <row r="1" spans="1:7" ht="12.75">
      <c r="A1" s="30" t="s">
        <v>25</v>
      </c>
      <c r="B1" s="4"/>
      <c r="F1" s="1"/>
      <c r="G1" s="1"/>
    </row>
    <row r="2" spans="2:7" ht="12.75">
      <c r="B2" s="4" t="s">
        <v>0</v>
      </c>
      <c r="C2" s="25">
        <v>250</v>
      </c>
      <c r="E2" s="7"/>
      <c r="F2" s="1"/>
      <c r="G2" s="1"/>
    </row>
    <row r="3" spans="2:7" ht="12.75">
      <c r="B3" s="4" t="s">
        <v>16</v>
      </c>
      <c r="C3" s="26">
        <v>22000</v>
      </c>
      <c r="F3" s="1"/>
      <c r="G3" s="1"/>
    </row>
    <row r="4" spans="1:10" ht="12.75">
      <c r="A4" s="47" t="s">
        <v>8</v>
      </c>
      <c r="B4" s="4" t="s">
        <v>17</v>
      </c>
      <c r="C4" s="27">
        <v>16</v>
      </c>
      <c r="E4" s="3">
        <f>1-(E6-E5)/E5</f>
        <v>0.9147727272727273</v>
      </c>
      <c r="F4" s="1" t="s">
        <v>28</v>
      </c>
      <c r="G4" s="1"/>
      <c r="I4" s="3"/>
      <c r="J4" s="3"/>
    </row>
    <row r="5" spans="1:7" ht="12.75">
      <c r="A5" s="48">
        <f>C5/$C$2</f>
        <v>3520</v>
      </c>
      <c r="B5" s="4" t="s">
        <v>18</v>
      </c>
      <c r="C5" s="5">
        <f>C2*C3*C4/100</f>
        <v>880000</v>
      </c>
      <c r="D5" s="6"/>
      <c r="E5" s="8">
        <f>C2*C3/100</f>
        <v>55000</v>
      </c>
      <c r="F5" s="1" t="s">
        <v>22</v>
      </c>
      <c r="G5" s="1"/>
    </row>
    <row r="6" spans="1:7" ht="12.75">
      <c r="A6" s="48">
        <f>C6/$C$2</f>
        <v>100</v>
      </c>
      <c r="B6" s="4" t="s">
        <v>1</v>
      </c>
      <c r="C6" s="49">
        <v>25000</v>
      </c>
      <c r="D6" s="6"/>
      <c r="E6" s="8">
        <f>C10/C4</f>
        <v>59687.5</v>
      </c>
      <c r="F6" s="1" t="s">
        <v>21</v>
      </c>
      <c r="G6" s="1"/>
    </row>
    <row r="7" spans="1:7" ht="12.75">
      <c r="A7" s="48">
        <f>C7/$C$2</f>
        <v>150</v>
      </c>
      <c r="B7" s="4" t="s">
        <v>19</v>
      </c>
      <c r="C7" s="49">
        <v>37500</v>
      </c>
      <c r="D7" s="6"/>
      <c r="F7" s="1"/>
      <c r="G7" s="1"/>
    </row>
    <row r="8" spans="1:7" ht="12.75">
      <c r="A8" s="48">
        <f>C8/$C$2</f>
        <v>-50</v>
      </c>
      <c r="B8" s="4" t="s">
        <v>23</v>
      </c>
      <c r="C8" s="50">
        <v>-12500</v>
      </c>
      <c r="D8" s="6"/>
      <c r="F8" s="1"/>
      <c r="G8" s="1"/>
    </row>
    <row r="9" spans="1:7" ht="13.5" thickBot="1">
      <c r="A9" s="51">
        <f>C9/$C$2</f>
        <v>100</v>
      </c>
      <c r="B9" s="33" t="s">
        <v>20</v>
      </c>
      <c r="C9" s="52">
        <v>25000</v>
      </c>
      <c r="D9" s="6"/>
      <c r="G9" s="1"/>
    </row>
    <row r="10" spans="1:7" ht="13.5" thickTop="1">
      <c r="A10" s="48">
        <f>SUM(A5:A9)</f>
        <v>3820</v>
      </c>
      <c r="B10" s="4" t="s">
        <v>29</v>
      </c>
      <c r="C10" s="6">
        <f>SUM(C5:C9)</f>
        <v>955000</v>
      </c>
      <c r="D10" s="6"/>
      <c r="G10" s="1"/>
    </row>
    <row r="11" spans="1:10" ht="12.75">
      <c r="A11" s="48"/>
      <c r="B11" s="4"/>
      <c r="C11" s="6"/>
      <c r="D11" s="6"/>
      <c r="E11" s="67" t="s">
        <v>15</v>
      </c>
      <c r="F11" s="1">
        <f>C10/E5</f>
        <v>17.363636363636363</v>
      </c>
      <c r="G11" s="1"/>
      <c r="I11" s="2">
        <f>C4</f>
        <v>16</v>
      </c>
      <c r="J11" s="1" t="s">
        <v>14</v>
      </c>
    </row>
    <row r="12" spans="1:10" ht="12.75">
      <c r="A12" s="53"/>
      <c r="B12" s="4"/>
      <c r="C12" s="6"/>
      <c r="D12" s="6"/>
      <c r="F12" s="35" t="s">
        <v>33</v>
      </c>
      <c r="G12" s="54"/>
      <c r="I12" s="54" t="s">
        <v>33</v>
      </c>
      <c r="J12" s="23"/>
    </row>
    <row r="13" spans="1:10" ht="12.75">
      <c r="A13" s="53"/>
      <c r="B13" s="4"/>
      <c r="C13" s="6"/>
      <c r="D13" s="6"/>
      <c r="E13" s="11" t="s">
        <v>31</v>
      </c>
      <c r="F13" s="35" t="s">
        <v>31</v>
      </c>
      <c r="G13" s="54"/>
      <c r="H13" s="11" t="s">
        <v>31</v>
      </c>
      <c r="I13" s="55" t="s">
        <v>31</v>
      </c>
      <c r="J13" s="23"/>
    </row>
    <row r="14" spans="1:13" ht="12.75">
      <c r="A14" s="53"/>
      <c r="B14" s="4"/>
      <c r="C14" s="6"/>
      <c r="D14" s="21"/>
      <c r="E14" s="11" t="s">
        <v>32</v>
      </c>
      <c r="F14" s="35" t="s">
        <v>32</v>
      </c>
      <c r="G14" s="54"/>
      <c r="H14" s="11" t="s">
        <v>32</v>
      </c>
      <c r="I14" s="55" t="s">
        <v>32</v>
      </c>
      <c r="J14" s="23"/>
      <c r="K14" s="11" t="s">
        <v>11</v>
      </c>
      <c r="L14" s="11" t="s">
        <v>11</v>
      </c>
      <c r="M14" s="11"/>
    </row>
    <row r="15" spans="1:13" ht="12.75">
      <c r="A15" s="56" t="s">
        <v>8</v>
      </c>
      <c r="B15" s="4"/>
      <c r="C15" s="22" t="s">
        <v>9</v>
      </c>
      <c r="E15" s="34" t="s">
        <v>34</v>
      </c>
      <c r="F15" s="36" t="s">
        <v>34</v>
      </c>
      <c r="G15" s="57"/>
      <c r="H15" s="34" t="s">
        <v>12</v>
      </c>
      <c r="I15" s="58" t="s">
        <v>12</v>
      </c>
      <c r="J15" s="23"/>
      <c r="K15" s="11" t="s">
        <v>46</v>
      </c>
      <c r="L15" s="11" t="s">
        <v>47</v>
      </c>
      <c r="M15" s="11"/>
    </row>
    <row r="16" spans="1:13" ht="12.75">
      <c r="A16" s="48">
        <f aca="true" t="shared" si="0" ref="A16:A24">C16/$C$2</f>
        <v>900</v>
      </c>
      <c r="B16" s="4" t="s">
        <v>10</v>
      </c>
      <c r="C16" s="28">
        <v>225000</v>
      </c>
      <c r="E16" s="1">
        <f aca="true" t="shared" si="1" ref="E16:E24">C16/$E$5</f>
        <v>4.090909090909091</v>
      </c>
      <c r="F16" s="1">
        <f>E16</f>
        <v>4.090909090909091</v>
      </c>
      <c r="G16" s="59"/>
      <c r="H16" s="1">
        <f aca="true" t="shared" si="2" ref="H16:H24">C16/$E$6</f>
        <v>3.769633507853403</v>
      </c>
      <c r="I16" s="1">
        <f>H16</f>
        <v>3.769633507853403</v>
      </c>
      <c r="J16" s="16"/>
      <c r="K16" s="13">
        <f aca="true" t="shared" si="3" ref="K16:K24">(C16-$C$6-$C$7-$C$8-$C$9)/$E$5</f>
        <v>2.727272727272727</v>
      </c>
      <c r="L16" s="13">
        <f>(C16-$C$6-$C$7-$C$8-$C$9)/$E$5</f>
        <v>2.727272727272727</v>
      </c>
      <c r="M16" s="13"/>
    </row>
    <row r="17" spans="1:13" ht="12.75">
      <c r="A17" s="48">
        <f t="shared" si="0"/>
        <v>1700</v>
      </c>
      <c r="B17" s="4" t="s">
        <v>5</v>
      </c>
      <c r="C17" s="28">
        <v>425000</v>
      </c>
      <c r="E17" s="1">
        <f t="shared" si="1"/>
        <v>7.7272727272727275</v>
      </c>
      <c r="F17" s="1">
        <f aca="true" t="shared" si="4" ref="F17:F24">F16+E17</f>
        <v>11.818181818181818</v>
      </c>
      <c r="G17" s="59"/>
      <c r="H17" s="1">
        <f t="shared" si="2"/>
        <v>7.12041884816754</v>
      </c>
      <c r="I17" s="1">
        <f aca="true" t="shared" si="5" ref="I17:I24">I16+H17</f>
        <v>10.890052356020943</v>
      </c>
      <c r="J17" s="16"/>
      <c r="K17" s="13">
        <f t="shared" si="3"/>
        <v>6.363636363636363</v>
      </c>
      <c r="L17" s="13">
        <f>(C16+C17-$C$6-$C$7-$C$8-$C$9)/$E$5</f>
        <v>10.454545454545455</v>
      </c>
      <c r="M17" s="13"/>
    </row>
    <row r="18" spans="1:13" ht="12.75">
      <c r="A18" s="48">
        <f t="shared" si="0"/>
        <v>-100</v>
      </c>
      <c r="B18" s="4" t="s">
        <v>24</v>
      </c>
      <c r="C18" s="50">
        <v>-25000</v>
      </c>
      <c r="E18" s="1">
        <f t="shared" si="1"/>
        <v>-0.45454545454545453</v>
      </c>
      <c r="F18" s="1">
        <f>F17+E18</f>
        <v>11.363636363636363</v>
      </c>
      <c r="G18" s="59"/>
      <c r="H18" s="1">
        <f t="shared" si="2"/>
        <v>-0.418848167539267</v>
      </c>
      <c r="I18" s="1">
        <f>I17+H18</f>
        <v>10.471204188481677</v>
      </c>
      <c r="J18" s="16"/>
      <c r="K18" s="13">
        <f t="shared" si="3"/>
        <v>-1.8181818181818181</v>
      </c>
      <c r="L18" s="13">
        <f>(C16+C17+C18-$C$6-$C$7-$C$8-$C$9)/$E$5</f>
        <v>10</v>
      </c>
      <c r="M18" s="13"/>
    </row>
    <row r="19" spans="1:13" ht="12.75">
      <c r="A19" s="48">
        <f t="shared" si="0"/>
        <v>-200</v>
      </c>
      <c r="B19" s="31" t="s">
        <v>26</v>
      </c>
      <c r="C19" s="50">
        <v>-50000</v>
      </c>
      <c r="E19" s="1">
        <f t="shared" si="1"/>
        <v>-0.9090909090909091</v>
      </c>
      <c r="F19" s="1">
        <f>F18+E19</f>
        <v>10.454545454545455</v>
      </c>
      <c r="G19" s="59"/>
      <c r="H19" s="1">
        <f t="shared" si="2"/>
        <v>-0.837696335078534</v>
      </c>
      <c r="I19" s="1">
        <f>I18+H19</f>
        <v>9.633507853403142</v>
      </c>
      <c r="J19" s="16"/>
      <c r="K19" s="13">
        <f t="shared" si="3"/>
        <v>-2.272727272727273</v>
      </c>
      <c r="L19" s="13">
        <f>(C16+C17+C18+C19-$C$6-$C$7-$C$8-$C$9)/$E$5</f>
        <v>9.090909090909092</v>
      </c>
      <c r="M19" s="13"/>
    </row>
    <row r="20" spans="1:13" ht="12.75">
      <c r="A20" s="48">
        <f t="shared" si="0"/>
        <v>500</v>
      </c>
      <c r="B20" s="4" t="s">
        <v>2</v>
      </c>
      <c r="C20" s="28">
        <v>125000</v>
      </c>
      <c r="E20" s="1">
        <f t="shared" si="1"/>
        <v>2.272727272727273</v>
      </c>
      <c r="F20" s="1">
        <f>F19+E20</f>
        <v>12.727272727272728</v>
      </c>
      <c r="G20" s="59"/>
      <c r="H20" s="1">
        <f t="shared" si="2"/>
        <v>2.094240837696335</v>
      </c>
      <c r="I20" s="1">
        <f>I19+H20</f>
        <v>11.727748691099476</v>
      </c>
      <c r="J20" s="16"/>
      <c r="K20" s="13">
        <f t="shared" si="3"/>
        <v>0.9090909090909091</v>
      </c>
      <c r="L20" s="13">
        <f>(C16+C17+C18+C19+C20-$C$6-$C$7-$C$8-$C$9)/$E$5</f>
        <v>11.363636363636363</v>
      </c>
      <c r="M20" s="13"/>
    </row>
    <row r="21" spans="1:13" ht="12.75">
      <c r="A21" s="48">
        <f t="shared" si="0"/>
        <v>300</v>
      </c>
      <c r="B21" s="4" t="s">
        <v>3</v>
      </c>
      <c r="C21" s="28">
        <v>75000</v>
      </c>
      <c r="E21" s="1">
        <f t="shared" si="1"/>
        <v>1.3636363636363635</v>
      </c>
      <c r="F21" s="14">
        <f t="shared" si="4"/>
        <v>14.090909090909092</v>
      </c>
      <c r="G21" s="60"/>
      <c r="H21" s="12">
        <f t="shared" si="2"/>
        <v>1.256544502617801</v>
      </c>
      <c r="I21" s="14">
        <f t="shared" si="5"/>
        <v>12.984293193717278</v>
      </c>
      <c r="J21" s="24"/>
      <c r="K21" s="13">
        <f t="shared" si="3"/>
        <v>0</v>
      </c>
      <c r="L21" s="15">
        <f>(C16+C17+C18+C19+C20+C21-$C$6-$C$7-$C$8-$C$9)/$E$5</f>
        <v>12.727272727272727</v>
      </c>
      <c r="M21" s="19"/>
    </row>
    <row r="22" spans="1:13" ht="13.5" thickBot="1">
      <c r="A22" s="48">
        <f t="shared" si="0"/>
        <v>400</v>
      </c>
      <c r="B22" s="4" t="s">
        <v>6</v>
      </c>
      <c r="C22" s="28">
        <v>100000</v>
      </c>
      <c r="E22" s="1">
        <f t="shared" si="1"/>
        <v>1.8181818181818181</v>
      </c>
      <c r="F22" s="10">
        <f t="shared" si="4"/>
        <v>15.90909090909091</v>
      </c>
      <c r="G22" s="60"/>
      <c r="H22" s="1">
        <f t="shared" si="2"/>
        <v>1.675392670157068</v>
      </c>
      <c r="I22" s="10">
        <f t="shared" si="5"/>
        <v>14.659685863874346</v>
      </c>
      <c r="J22" s="24"/>
      <c r="K22" s="13">
        <f t="shared" si="3"/>
        <v>0.45454545454545453</v>
      </c>
      <c r="L22" s="20">
        <f>(C16+C17+C18+C19+C20+C21+C22-$C$6-$C$7-$C$8-$C$9)/$E$5</f>
        <v>14.545454545454545</v>
      </c>
      <c r="M22" s="19"/>
    </row>
    <row r="23" spans="1:13" ht="12.75">
      <c r="A23" s="48">
        <f t="shared" si="0"/>
        <v>350</v>
      </c>
      <c r="B23" s="4" t="s">
        <v>4</v>
      </c>
      <c r="C23" s="28">
        <v>87500</v>
      </c>
      <c r="E23" s="1">
        <f t="shared" si="1"/>
        <v>1.5909090909090908</v>
      </c>
      <c r="F23" s="1">
        <f t="shared" si="4"/>
        <v>17.5</v>
      </c>
      <c r="G23" s="59"/>
      <c r="H23" s="1">
        <f t="shared" si="2"/>
        <v>1.4659685863874345</v>
      </c>
      <c r="I23" s="1">
        <f t="shared" si="5"/>
        <v>16.12565445026178</v>
      </c>
      <c r="J23" s="16"/>
      <c r="K23" s="13">
        <f t="shared" si="3"/>
        <v>0.22727272727272727</v>
      </c>
      <c r="L23" s="19">
        <f>(C16+C17+C18+C19+C20+C21+C22+C23-$C$6-$C$7-$C$8-$C$9)/$E$5</f>
        <v>16.136363636363637</v>
      </c>
      <c r="M23" s="19"/>
    </row>
    <row r="24" spans="1:13" ht="13.5" thickBot="1">
      <c r="A24" s="51">
        <f t="shared" si="0"/>
        <v>400</v>
      </c>
      <c r="B24" s="33" t="s">
        <v>7</v>
      </c>
      <c r="C24" s="29">
        <v>100000</v>
      </c>
      <c r="E24" s="12">
        <f t="shared" si="1"/>
        <v>1.8181818181818181</v>
      </c>
      <c r="F24" s="1">
        <f t="shared" si="4"/>
        <v>19.318181818181817</v>
      </c>
      <c r="G24" s="59"/>
      <c r="H24" s="1">
        <f t="shared" si="2"/>
        <v>1.675392670157068</v>
      </c>
      <c r="I24" s="1">
        <f t="shared" si="5"/>
        <v>17.80104712041885</v>
      </c>
      <c r="J24" s="16"/>
      <c r="K24" s="13">
        <f t="shared" si="3"/>
        <v>0.45454545454545453</v>
      </c>
      <c r="L24" s="13">
        <f>(C16+C17+C18+C19+C20+C21+C23+C22+C24-$C$6-$C$7-$C$8-$C$9)/$E$5</f>
        <v>17.954545454545453</v>
      </c>
      <c r="M24" s="13"/>
    </row>
    <row r="25" spans="1:13" ht="13.5" thickTop="1">
      <c r="A25" s="61">
        <f>SUM(A16:A24)</f>
        <v>4250</v>
      </c>
      <c r="B25" s="4" t="s">
        <v>30</v>
      </c>
      <c r="C25" s="5">
        <f>SUM(C16:C24)</f>
        <v>1062500</v>
      </c>
      <c r="D25" s="5"/>
      <c r="E25" s="1"/>
      <c r="F25" s="1"/>
      <c r="G25" s="1"/>
      <c r="K25" s="13"/>
      <c r="L25" s="13"/>
      <c r="M25" s="13"/>
    </row>
    <row r="26" spans="1:14" ht="12.75">
      <c r="A26" s="61"/>
      <c r="B26" s="4"/>
      <c r="C26" s="5"/>
      <c r="D26" s="5"/>
      <c r="E26" s="1"/>
      <c r="F26" s="1"/>
      <c r="G26" s="1"/>
      <c r="N26" s="11" t="s">
        <v>58</v>
      </c>
    </row>
    <row r="27" spans="2:14" ht="12.75">
      <c r="B27" s="4"/>
      <c r="C27" s="4" t="s">
        <v>35</v>
      </c>
      <c r="D27" s="6" t="s">
        <v>44</v>
      </c>
      <c r="E27" s="16">
        <f>$C$25/E5</f>
        <v>19.318181818181817</v>
      </c>
      <c r="F27" s="1"/>
      <c r="G27" s="1"/>
      <c r="K27" s="83" t="s">
        <v>59</v>
      </c>
      <c r="N27" s="11" t="s">
        <v>57</v>
      </c>
    </row>
    <row r="28" spans="2:16" ht="12.75">
      <c r="B28" s="4"/>
      <c r="C28" s="4" t="s">
        <v>36</v>
      </c>
      <c r="D28" s="6" t="s">
        <v>44</v>
      </c>
      <c r="E28" s="17">
        <f>$C$25/E6</f>
        <v>17.801047120418847</v>
      </c>
      <c r="F28" s="1"/>
      <c r="G28" s="1"/>
      <c r="K28" s="82" t="s">
        <v>60</v>
      </c>
      <c r="L28" s="71">
        <f>M28-1000</f>
        <v>21000</v>
      </c>
      <c r="M28" s="71">
        <f>$C$3</f>
        <v>22000</v>
      </c>
      <c r="N28" s="71">
        <f>M28+1000</f>
        <v>23000</v>
      </c>
      <c r="O28" s="71">
        <f>N28+1000</f>
        <v>24000</v>
      </c>
      <c r="P28" s="71">
        <f>O28+1000</f>
        <v>25000</v>
      </c>
    </row>
    <row r="29" spans="3:16" ht="13.5" thickBot="1">
      <c r="C29" s="4" t="s">
        <v>43</v>
      </c>
      <c r="D29" s="6" t="s">
        <v>44</v>
      </c>
      <c r="E29" s="18">
        <f>(C25-C6-C7-C8-C9)/E5</f>
        <v>17.954545454545453</v>
      </c>
      <c r="F29" s="1"/>
      <c r="G29" s="1"/>
      <c r="K29" s="72">
        <f>K30*0.95</f>
        <v>1009375</v>
      </c>
      <c r="L29" s="73">
        <f aca="true" t="shared" si="6" ref="L29:P33">($K29-$C$6-$C$7-$C$8-$C$9)/(L$28*$C$2/100)</f>
        <v>17.797619047619047</v>
      </c>
      <c r="M29" s="74">
        <f t="shared" si="6"/>
        <v>16.988636363636363</v>
      </c>
      <c r="N29" s="74">
        <f t="shared" si="6"/>
        <v>16.25</v>
      </c>
      <c r="O29" s="74">
        <f t="shared" si="6"/>
        <v>15.572916666666666</v>
      </c>
      <c r="P29" s="75">
        <f t="shared" si="6"/>
        <v>14.95</v>
      </c>
    </row>
    <row r="30" spans="2:16" ht="13.5" thickBot="1">
      <c r="B30" s="4"/>
      <c r="D30" s="6"/>
      <c r="F30" s="1"/>
      <c r="G30" s="1"/>
      <c r="K30" s="6">
        <f>$C$25</f>
        <v>1062500</v>
      </c>
      <c r="L30" s="76">
        <f t="shared" si="6"/>
        <v>18.80952380952381</v>
      </c>
      <c r="M30" s="93">
        <f t="shared" si="6"/>
        <v>17.954545454545453</v>
      </c>
      <c r="N30" s="77">
        <f t="shared" si="6"/>
        <v>17.17391304347826</v>
      </c>
      <c r="O30" s="77">
        <f t="shared" si="6"/>
        <v>16.458333333333332</v>
      </c>
      <c r="P30" s="78">
        <f t="shared" si="6"/>
        <v>15.8</v>
      </c>
    </row>
    <row r="31" spans="2:16" ht="12.75">
      <c r="B31" s="4"/>
      <c r="E31" s="4" t="s">
        <v>27</v>
      </c>
      <c r="F31" s="6">
        <f>C10-C25</f>
        <v>-107500</v>
      </c>
      <c r="G31" s="6"/>
      <c r="K31" s="72">
        <f>K30*1.05</f>
        <v>1115625</v>
      </c>
      <c r="L31" s="76">
        <f t="shared" si="6"/>
        <v>19.821428571428573</v>
      </c>
      <c r="M31" s="77">
        <f t="shared" si="6"/>
        <v>18.920454545454547</v>
      </c>
      <c r="N31" s="77">
        <f t="shared" si="6"/>
        <v>18.097826086956523</v>
      </c>
      <c r="O31" s="77">
        <f t="shared" si="6"/>
        <v>17.34375</v>
      </c>
      <c r="P31" s="78">
        <f t="shared" si="6"/>
        <v>16.65</v>
      </c>
    </row>
    <row r="32" spans="2:16" ht="12.75">
      <c r="B32" s="4"/>
      <c r="E32" s="4" t="s">
        <v>13</v>
      </c>
      <c r="F32" s="6">
        <f>F31+C24+C22</f>
        <v>92500</v>
      </c>
      <c r="G32" s="6"/>
      <c r="K32" s="72">
        <f>K30*1.1</f>
        <v>1168750</v>
      </c>
      <c r="L32" s="76">
        <f t="shared" si="6"/>
        <v>20.833333333333332</v>
      </c>
      <c r="M32" s="77">
        <f t="shared" si="6"/>
        <v>19.886363636363637</v>
      </c>
      <c r="N32" s="77">
        <f t="shared" si="6"/>
        <v>19.02173913043478</v>
      </c>
      <c r="O32" s="77">
        <f t="shared" si="6"/>
        <v>18.229166666666668</v>
      </c>
      <c r="P32" s="78">
        <f t="shared" si="6"/>
        <v>17.5</v>
      </c>
    </row>
    <row r="33" spans="2:16" ht="12.75">
      <c r="B33" s="4"/>
      <c r="E33" s="4"/>
      <c r="F33" s="6"/>
      <c r="G33" s="6"/>
      <c r="K33" s="72">
        <f>K30*1.15</f>
        <v>1221875</v>
      </c>
      <c r="L33" s="79">
        <f t="shared" si="6"/>
        <v>21.845238095238095</v>
      </c>
      <c r="M33" s="80">
        <f t="shared" si="6"/>
        <v>20.852272727272727</v>
      </c>
      <c r="N33" s="80">
        <f t="shared" si="6"/>
        <v>19.945652173913043</v>
      </c>
      <c r="O33" s="80">
        <f t="shared" si="6"/>
        <v>19.114583333333332</v>
      </c>
      <c r="P33" s="81">
        <f t="shared" si="6"/>
        <v>18.35</v>
      </c>
    </row>
    <row r="34" spans="2:7" ht="12.75">
      <c r="B34" s="4"/>
      <c r="E34" s="4"/>
      <c r="F34" s="6"/>
      <c r="G34" s="6"/>
    </row>
    <row r="35" spans="2:7" ht="15.75">
      <c r="B35" s="4"/>
      <c r="C35" s="62" t="s">
        <v>48</v>
      </c>
      <c r="F35" s="1"/>
      <c r="G35" s="1"/>
    </row>
    <row r="36" spans="2:14" ht="12.75">
      <c r="B36" s="4"/>
      <c r="C36" s="34" t="s">
        <v>49</v>
      </c>
      <c r="E36" s="34" t="s">
        <v>50</v>
      </c>
      <c r="F36" s="63" t="s">
        <v>51</v>
      </c>
      <c r="G36" s="64"/>
      <c r="N36" s="11" t="s">
        <v>61</v>
      </c>
    </row>
    <row r="37" spans="2:14" ht="12.75">
      <c r="B37" s="4" t="s">
        <v>52</v>
      </c>
      <c r="C37" s="28">
        <v>300000</v>
      </c>
      <c r="D37" s="5"/>
      <c r="E37" s="28">
        <v>287500</v>
      </c>
      <c r="F37" s="65">
        <f>E37-C37</f>
        <v>-12500</v>
      </c>
      <c r="G37" s="65"/>
      <c r="K37" s="83" t="s">
        <v>59</v>
      </c>
      <c r="N37" s="11" t="s">
        <v>62</v>
      </c>
    </row>
    <row r="38" spans="2:16" ht="12.75">
      <c r="B38" s="4" t="s">
        <v>53</v>
      </c>
      <c r="C38" s="28">
        <v>525000</v>
      </c>
      <c r="D38" s="5"/>
      <c r="E38" s="28">
        <v>550000</v>
      </c>
      <c r="F38" s="65">
        <f>E38-C38</f>
        <v>25000</v>
      </c>
      <c r="G38" s="65"/>
      <c r="K38" s="82" t="s">
        <v>60</v>
      </c>
      <c r="L38" s="1">
        <f>M38-1</f>
        <v>14</v>
      </c>
      <c r="M38" s="1">
        <f>N38-1</f>
        <v>15</v>
      </c>
      <c r="N38" s="1">
        <f>$C$4</f>
        <v>16</v>
      </c>
      <c r="O38" s="1">
        <f>N38+1</f>
        <v>17</v>
      </c>
      <c r="P38" s="1">
        <f>O38+1</f>
        <v>18</v>
      </c>
    </row>
    <row r="39" spans="2:16" ht="13.5" thickBot="1">
      <c r="B39" s="4" t="s">
        <v>54</v>
      </c>
      <c r="C39" s="28">
        <v>25000</v>
      </c>
      <c r="D39" s="5"/>
      <c r="E39" s="28">
        <v>0</v>
      </c>
      <c r="F39" s="65">
        <f>E39-C39</f>
        <v>-25000</v>
      </c>
      <c r="G39" s="65"/>
      <c r="K39" s="72">
        <f>K40*0.95</f>
        <v>1009375</v>
      </c>
      <c r="L39" s="84">
        <f>($K39-$C$6-$C$7-$C$8-$C$9)/(L$38*$C$2/100)</f>
        <v>26696.428571428572</v>
      </c>
      <c r="M39" s="86">
        <f aca="true" t="shared" si="7" ref="M39:P43">($K39-$C$6-$C$7-$C$8-$C$9)/(M$38*$C$2/100)</f>
        <v>24916.666666666668</v>
      </c>
      <c r="N39" s="86">
        <f t="shared" si="7"/>
        <v>23359.375</v>
      </c>
      <c r="O39" s="86">
        <f t="shared" si="7"/>
        <v>21985.29411764706</v>
      </c>
      <c r="P39" s="87">
        <f t="shared" si="7"/>
        <v>20763.88888888889</v>
      </c>
    </row>
    <row r="40" spans="2:16" ht="13.5" thickBot="1">
      <c r="B40" s="4"/>
      <c r="C40" s="28"/>
      <c r="D40" s="5"/>
      <c r="E40" s="28"/>
      <c r="F40" s="66" t="s">
        <v>55</v>
      </c>
      <c r="G40" s="66"/>
      <c r="K40" s="6">
        <f>$C$25</f>
        <v>1062500</v>
      </c>
      <c r="L40" s="88">
        <f>($K40-$C$6-$C$7-$C$8-$C$9)/(L$38*$C$2/100)</f>
        <v>28214.285714285714</v>
      </c>
      <c r="M40" s="85">
        <f t="shared" si="7"/>
        <v>26333.333333333332</v>
      </c>
      <c r="N40" s="94">
        <f t="shared" si="7"/>
        <v>24687.5</v>
      </c>
      <c r="O40" s="85">
        <f t="shared" si="7"/>
        <v>23235.29411764706</v>
      </c>
      <c r="P40" s="89">
        <f t="shared" si="7"/>
        <v>21944.444444444445</v>
      </c>
    </row>
    <row r="41" spans="2:16" ht="12.75">
      <c r="B41" s="4" t="s">
        <v>56</v>
      </c>
      <c r="C41" s="28">
        <v>20000</v>
      </c>
      <c r="D41" s="5"/>
      <c r="E41" s="28">
        <v>70000</v>
      </c>
      <c r="F41" s="65">
        <f>-(E41-C41)</f>
        <v>-50000</v>
      </c>
      <c r="G41" s="65"/>
      <c r="K41" s="72">
        <f>K40*1.05</f>
        <v>1115625</v>
      </c>
      <c r="L41" s="88">
        <f>($K41-$C$6-$C$7-$C$8-$C$9)/(L$38*$C$2/100)</f>
        <v>29732.14285714286</v>
      </c>
      <c r="M41" s="85">
        <f t="shared" si="7"/>
        <v>27750</v>
      </c>
      <c r="N41" s="85">
        <f t="shared" si="7"/>
        <v>26015.625</v>
      </c>
      <c r="O41" s="85">
        <f t="shared" si="7"/>
        <v>24485.29411764706</v>
      </c>
      <c r="P41" s="89">
        <f t="shared" si="7"/>
        <v>23125</v>
      </c>
    </row>
    <row r="42" spans="2:16" ht="12.75">
      <c r="B42" s="4"/>
      <c r="F42" s="1"/>
      <c r="G42" s="1"/>
      <c r="K42" s="72">
        <f>K40*1.1</f>
        <v>1168750</v>
      </c>
      <c r="L42" s="88">
        <f>($K42-$C$6-$C$7-$C$8-$C$9)/(L$38*$C$2/100)</f>
        <v>31250</v>
      </c>
      <c r="M42" s="85">
        <f t="shared" si="7"/>
        <v>29166.666666666668</v>
      </c>
      <c r="N42" s="85">
        <f t="shared" si="7"/>
        <v>27343.75</v>
      </c>
      <c r="O42" s="85">
        <f t="shared" si="7"/>
        <v>25735.29411764706</v>
      </c>
      <c r="P42" s="89">
        <f t="shared" si="7"/>
        <v>24305.555555555555</v>
      </c>
    </row>
    <row r="43" spans="11:16" ht="12.75">
      <c r="K43" s="72">
        <f>K40*1.15</f>
        <v>1221875</v>
      </c>
      <c r="L43" s="90">
        <f>($K43-$C$6-$C$7-$C$8-$C$9)/(L$38*$C$2/100)</f>
        <v>32767.85714285714</v>
      </c>
      <c r="M43" s="91">
        <f t="shared" si="7"/>
        <v>30583.333333333332</v>
      </c>
      <c r="N43" s="91">
        <f t="shared" si="7"/>
        <v>28671.875</v>
      </c>
      <c r="O43" s="91">
        <f t="shared" si="7"/>
        <v>26985.29411764706</v>
      </c>
      <c r="P43" s="92">
        <f t="shared" si="7"/>
        <v>25486.11111111111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Dairy Profitability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Frank</dc:creator>
  <cp:keywords/>
  <dc:description/>
  <cp:lastModifiedBy>Orth, Julie</cp:lastModifiedBy>
  <cp:lastPrinted>2008-02-22T16:28:45Z</cp:lastPrinted>
  <dcterms:created xsi:type="dcterms:W3CDTF">2008-01-16T14:10:45Z</dcterms:created>
  <dcterms:modified xsi:type="dcterms:W3CDTF">2014-05-02T14:44:21Z</dcterms:modified>
  <cp:category/>
  <cp:version/>
  <cp:contentType/>
  <cp:contentStatus/>
</cp:coreProperties>
</file>