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alculations" sheetId="1" r:id="rId1"/>
    <sheet name="worksheet" sheetId="2" r:id="rId2"/>
    <sheet name="TDN adjustments" sheetId="3" r:id="rId3"/>
  </sheets>
  <definedNames>
    <definedName name="Results">'worksheet'!$A$1:$M$58</definedName>
    <definedName name="TDN">'TDN adjustments'!$A$1:$H$54</definedName>
  </definedNames>
  <calcPr fullCalcOnLoad="1"/>
</workbook>
</file>

<file path=xl/sharedStrings.xml><?xml version="1.0" encoding="utf-8"?>
<sst xmlns="http://schemas.openxmlformats.org/spreadsheetml/2006/main" count="165" uniqueCount="150">
  <si>
    <t>Harvesting Cost</t>
  </si>
  <si>
    <t>Stage</t>
  </si>
  <si>
    <t>CP</t>
  </si>
  <si>
    <t>#sbom required to get as much protein</t>
  </si>
  <si>
    <t>ADF</t>
  </si>
  <si>
    <t>Ndf</t>
  </si>
  <si>
    <t>Tdn</t>
  </si>
  <si>
    <t>Price/unit</t>
  </si>
  <si>
    <t>Value/Ton</t>
  </si>
  <si>
    <t>Est yield T/A</t>
  </si>
  <si>
    <t>Value/A</t>
  </si>
  <si>
    <t># tdn not covered by sbom</t>
  </si>
  <si>
    <t># protein excess provided by corn</t>
  </si>
  <si>
    <t># tdn lost by removing SBOM</t>
  </si>
  <si>
    <t>V9</t>
  </si>
  <si>
    <t>SBOM Price/T</t>
  </si>
  <si>
    <t>V12</t>
  </si>
  <si>
    <t>Corn Price/Bu</t>
  </si>
  <si>
    <t>V18</t>
  </si>
  <si>
    <t>.85 for dry shelled corn</t>
  </si>
  <si>
    <t>VT</t>
  </si>
  <si>
    <t>R!</t>
  </si>
  <si>
    <t>Early Dent</t>
  </si>
  <si>
    <t>1/4 Milkline</t>
  </si>
  <si>
    <t>2/3 Milkline</t>
  </si>
  <si>
    <t>Black Layer</t>
  </si>
  <si>
    <t>135 RFV Hay/T</t>
  </si>
  <si>
    <t>Values to use in Regression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</si>
  <si>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</si>
  <si>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</si>
  <si>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</si>
  <si>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</si>
  <si>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</si>
  <si>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</si>
  <si>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</si>
  <si>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</si>
  <si>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Crude Protein %  of Sample</t>
  </si>
  <si>
    <t>df</t>
  </si>
  <si>
    <t>SS</t>
  </si>
  <si>
    <t>MS</t>
  </si>
  <si>
    <t>F</t>
  </si>
  <si>
    <t>Significance F</t>
  </si>
  <si>
    <t>times 1.2</t>
  </si>
  <si>
    <t>times 32</t>
  </si>
  <si>
    <t>Regression</t>
  </si>
  <si>
    <t>Times SBOM price</t>
  </si>
  <si>
    <t>Residual</t>
  </si>
  <si>
    <t>times yield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</si>
  <si>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</si>
  <si>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</si>
  <si>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</si>
  <si>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</si>
  <si>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</si>
  <si>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</si>
  <si>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</si>
  <si>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</si>
  <si>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</si>
  <si>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</si>
  <si>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</si>
  <si>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RESIDUAL OUTPUT</t>
  </si>
  <si>
    <t>Observation</t>
  </si>
  <si>
    <t>Predicted Y</t>
  </si>
  <si>
    <t>Residuals</t>
  </si>
  <si>
    <t>Estimating the Value of Standing Corn for Corn Silage</t>
  </si>
  <si>
    <r>
      <t>Step 1.</t>
    </r>
    <r>
      <rPr>
        <sz val="10"/>
        <rFont val="Arial"/>
        <family val="0"/>
      </rPr>
      <t xml:space="preserve">  Select the multiplier for SBOM (from Table 1) and corn (from Table 2) based on the current</t>
    </r>
  </si>
  <si>
    <t>price of SBOM per ton and the current price of corn per bushel.</t>
  </si>
  <si>
    <t>Table 1:  SBOM Multipliers</t>
  </si>
  <si>
    <t>Price of</t>
  </si>
  <si>
    <t>Price of SBOM per ton</t>
  </si>
  <si>
    <r>
      <t>Step 2.</t>
    </r>
    <r>
      <rPr>
        <sz val="10"/>
        <rFont val="Arial"/>
        <family val="0"/>
      </rPr>
      <t xml:space="preserve">  Take the SBOM price times the SBOM multiplier</t>
    </r>
  </si>
  <si>
    <t>Corn per Bu.</t>
  </si>
  <si>
    <t>and take the result times the percent  (as a decimal)</t>
  </si>
  <si>
    <t>protein in this corn silage.</t>
  </si>
  <si>
    <r>
      <t>Step 3.</t>
    </r>
    <r>
      <rPr>
        <sz val="10"/>
        <rFont val="Arial"/>
        <family val="0"/>
      </rPr>
      <t xml:space="preserve">  Take the corn price times the corn multiplier</t>
    </r>
  </si>
  <si>
    <t>Table 2:  Corn Multipliers</t>
  </si>
  <si>
    <t>TDN in this corn silage.</t>
  </si>
  <si>
    <r>
      <t>Step 4.</t>
    </r>
    <r>
      <rPr>
        <sz val="10"/>
        <rFont val="Arial"/>
        <family val="0"/>
      </rPr>
      <t xml:space="preserve">  Add the results from steps 2 &amp; 3 and take </t>
    </r>
  </si>
  <si>
    <t>the sum times the percent dry matter in</t>
  </si>
  <si>
    <t>this corn silage.</t>
  </si>
  <si>
    <r>
      <t>Step 5.</t>
    </r>
    <r>
      <rPr>
        <sz val="10"/>
        <rFont val="Arial"/>
        <family val="0"/>
      </rPr>
      <t xml:space="preserve">  Multiply result by (1 - ensile dry matter loss) and subtract the harvesting costs per wet ton and you have</t>
    </r>
  </si>
  <si>
    <r>
      <t xml:space="preserve">estimated the value of standing corn.  Of course </t>
    </r>
    <r>
      <rPr>
        <b/>
        <sz val="10"/>
        <rFont val="Arial"/>
        <family val="0"/>
      </rPr>
      <t>the price you pay</t>
    </r>
    <r>
      <rPr>
        <sz val="10"/>
        <rFont val="Arial"/>
        <family val="0"/>
      </rPr>
      <t xml:space="preserve"> will be determined by supply and </t>
    </r>
  </si>
  <si>
    <t>demand conditions in your area and negotiations between you and the seller.</t>
  </si>
  <si>
    <t>7.5% protein, 64% TDN, and 30% dry matter.  The harvesting cost is $4.00 per ton.</t>
  </si>
  <si>
    <t>Example Values</t>
  </si>
  <si>
    <t>Your Values</t>
  </si>
  <si>
    <t>Step 2</t>
  </si>
  <si>
    <t>SBOM Multiplier</t>
  </si>
  <si>
    <t>SBOM Price/ Ton</t>
  </si>
  <si>
    <t>% Protein in Corn Silage</t>
  </si>
  <si>
    <t>Step 3</t>
  </si>
  <si>
    <t>Corn Multiplier</t>
  </si>
  <si>
    <t>Corn Price/Bushel</t>
  </si>
  <si>
    <t>% TDN in Corn Silage ***</t>
  </si>
  <si>
    <t>+</t>
  </si>
  <si>
    <t xml:space="preserve"> ***See back of this page for </t>
  </si>
  <si>
    <t>Step 4</t>
  </si>
  <si>
    <t>Subtotal</t>
  </si>
  <si>
    <t>=</t>
  </si>
  <si>
    <t xml:space="preserve"> the correct % TDN to use.</t>
  </si>
  <si>
    <t>times percent dry matter (as a decimal)</t>
  </si>
  <si>
    <t>x</t>
  </si>
  <si>
    <t>Value per ton of this corn silage in storage</t>
  </si>
  <si>
    <t xml:space="preserve">  * Ensile dry matter losses</t>
  </si>
  <si>
    <t>times (1.00 - % ensile dry matter loss)*</t>
  </si>
  <si>
    <t xml:space="preserve">  range from 5 to 10% or more.</t>
  </si>
  <si>
    <t>Step 5</t>
  </si>
  <si>
    <t>Value per wet ton</t>
  </si>
  <si>
    <t>minus harvesting costs per wet ton</t>
  </si>
  <si>
    <t>-</t>
  </si>
  <si>
    <t>Value per ton as standing corn</t>
  </si>
  <si>
    <t>To obtain the correct TDN value for use when calculating the value of corn silage, select the lower</t>
  </si>
  <si>
    <t>of the unadjusted and the adjusted TDN values based on the corn silage's Whole Plant (WP) ADF% and</t>
  </si>
  <si>
    <t>WP DM%.  Example 1:  The corn silage has a WP ADF of 24% and WP DM of 30%, use a TDN value of</t>
  </si>
  <si>
    <t>WP ADF%</t>
  </si>
  <si>
    <t>WP DM%</t>
  </si>
  <si>
    <t>Unadj. TDN</t>
  </si>
  <si>
    <t>Adj. TDN</t>
  </si>
  <si>
    <t>Lower of the two TDN values</t>
  </si>
  <si>
    <t>Unadj. Nel</t>
  </si>
  <si>
    <t xml:space="preserve"> </t>
  </si>
  <si>
    <t>71%.  Example 2:  The corn silage has a WP ADF of 24% and WP DM of 40%, use a TDN of 66.4%.</t>
  </si>
  <si>
    <t xml:space="preserve">  Example 2</t>
  </si>
  <si>
    <t xml:space="preserve">  Example 1</t>
  </si>
  <si>
    <t>Y</t>
  </si>
  <si>
    <t>X!</t>
  </si>
  <si>
    <t>X2</t>
  </si>
  <si>
    <t>Percent Spoilage</t>
  </si>
  <si>
    <t xml:space="preserve">Example:  The SBOM price is $275 per ton and the corn price is $5.50 per bushel.  The corn silage is </t>
  </si>
  <si>
    <t>per bushel; and harvesting costs are $60 per acre.</t>
  </si>
  <si>
    <t>Estimated Value</t>
  </si>
  <si>
    <t>Stage*</t>
  </si>
  <si>
    <t>Protein %*</t>
  </si>
  <si>
    <t>TDN %*</t>
  </si>
  <si>
    <t>per wet ton**</t>
  </si>
  <si>
    <t>per Acre***</t>
  </si>
  <si>
    <t>10 - 12 leaves, no tassels</t>
  </si>
  <si>
    <t>14 - 15 leaves, no tassels</t>
  </si>
  <si>
    <t>14 - 15 leaves and tassels</t>
  </si>
  <si>
    <t>Tassels, plus main ear visible</t>
  </si>
  <si>
    <t>Silks and blisters</t>
  </si>
  <si>
    <t>Early dent</t>
  </si>
  <si>
    <t>1/4 milkline</t>
  </si>
  <si>
    <t>2/3 milkline</t>
  </si>
  <si>
    <t>Black layer</t>
  </si>
  <si>
    <t>* Stages and the corresponding % protein and TDN adapted from work by P. Hoffman and R. Shaver.</t>
  </si>
  <si>
    <t>** At 30 percent dry matter.</t>
  </si>
  <si>
    <t>*** After subtracting harvesting cost and assuming a mature yield of 18 tons of corn silage per acre.</t>
  </si>
  <si>
    <t xml:space="preserve"> Table 3:  Estimated value of standing corn if SBOM price is $300 per ton; the corn price is $6.00</t>
  </si>
  <si>
    <t>tons</t>
  </si>
  <si>
    <t>Gary Frank, Center for Dairy Profitability,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</si>
</sst>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7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5" fontId="0" fillId="0" borderId="15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16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Continuous"/>
    </xf>
    <xf numFmtId="7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>
      <alignment/>
    </xf>
    <xf numFmtId="2" fontId="0" fillId="0" borderId="17" xfId="0" applyNumberFormat="1" applyFill="1" applyBorder="1" applyAlignment="1">
      <alignment/>
    </xf>
    <xf numFmtId="0" fontId="0" fillId="34" borderId="0" xfId="0" applyFill="1" applyBorder="1" applyAlignment="1">
      <alignment/>
    </xf>
    <xf numFmtId="7" fontId="0" fillId="0" borderId="18" xfId="0" applyNumberFormat="1" applyBorder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17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>
      <alignment horizontal="right"/>
    </xf>
    <xf numFmtId="2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 quotePrefix="1">
      <alignment horizontal="right"/>
    </xf>
    <xf numFmtId="164" fontId="0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right"/>
    </xf>
    <xf numFmtId="9" fontId="0" fillId="0" borderId="10" xfId="0" applyNumberFormat="1" applyBorder="1" applyAlignment="1">
      <alignment/>
    </xf>
    <xf numFmtId="2" fontId="0" fillId="33" borderId="16" xfId="0" applyNumberFormat="1" applyFill="1" applyBorder="1" applyAlignment="1">
      <alignment/>
    </xf>
    <xf numFmtId="2" fontId="0" fillId="34" borderId="0" xfId="0" applyNumberFormat="1" applyFont="1" applyFill="1" applyBorder="1" applyAlignment="1">
      <alignment horizontal="right"/>
    </xf>
    <xf numFmtId="7" fontId="0" fillId="0" borderId="14" xfId="0" applyNumberFormat="1" applyBorder="1" applyAlignment="1">
      <alignment/>
    </xf>
    <xf numFmtId="0" fontId="0" fillId="0" borderId="0" xfId="0" applyBorder="1" applyAlignment="1">
      <alignment horizontal="right"/>
    </xf>
    <xf numFmtId="165" fontId="0" fillId="0" borderId="16" xfId="0" applyNumberFormat="1" applyBorder="1" applyAlignment="1">
      <alignment/>
    </xf>
    <xf numFmtId="0" fontId="0" fillId="0" borderId="10" xfId="0" applyBorder="1" applyAlignment="1" quotePrefix="1">
      <alignment horizontal="right"/>
    </xf>
    <xf numFmtId="0" fontId="2" fillId="0" borderId="30" xfId="0" applyFon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8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8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8" fontId="0" fillId="0" borderId="15" xfId="0" applyNumberFormat="1" applyBorder="1" applyAlignment="1">
      <alignment/>
    </xf>
    <xf numFmtId="2" fontId="0" fillId="0" borderId="10" xfId="0" applyNumberFormat="1" applyBorder="1" applyAlignment="1">
      <alignment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0" fillId="0" borderId="0" xfId="57" applyNumberFormat="1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7" fontId="0" fillId="0" borderId="0" xfId="0" applyNumberFormat="1" applyBorder="1" applyAlignment="1" applyProtection="1">
      <alignment/>
      <protection locked="0"/>
    </xf>
    <xf numFmtId="7" fontId="0" fillId="0" borderId="0" xfId="0" applyNumberFormat="1" applyBorder="1" applyAlignment="1" applyProtection="1" quotePrefix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32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32" xfId="0" applyNumberForma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7" fontId="7" fillId="0" borderId="10" xfId="0" applyNumberFormat="1" applyFont="1" applyBorder="1" applyAlignment="1" applyProtection="1">
      <alignment horizontal="right"/>
      <protection locked="0"/>
    </xf>
    <xf numFmtId="10" fontId="7" fillId="0" borderId="10" xfId="57" applyNumberFormat="1" applyFont="1" applyBorder="1" applyAlignment="1" applyProtection="1">
      <alignment/>
      <protection locked="0"/>
    </xf>
    <xf numFmtId="7" fontId="7" fillId="0" borderId="10" xfId="0" applyNumberFormat="1" applyFont="1" applyBorder="1" applyAlignment="1" applyProtection="1">
      <alignment/>
      <protection locked="0"/>
    </xf>
    <xf numFmtId="9" fontId="7" fillId="0" borderId="10" xfId="57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/>
    </xf>
    <xf numFmtId="7" fontId="0" fillId="33" borderId="16" xfId="0" applyNumberFormat="1" applyFont="1" applyFill="1" applyBorder="1" applyAlignment="1" applyProtection="1">
      <alignment/>
      <protection/>
    </xf>
    <xf numFmtId="7" fontId="0" fillId="34" borderId="0" xfId="0" applyNumberFormat="1" applyFont="1" applyFill="1" applyBorder="1" applyAlignment="1" applyProtection="1">
      <alignment/>
      <protection/>
    </xf>
    <xf numFmtId="165" fontId="0" fillId="0" borderId="33" xfId="0" applyNumberFormat="1" applyFont="1" applyBorder="1" applyAlignment="1" applyProtection="1">
      <alignment/>
      <protection/>
    </xf>
    <xf numFmtId="7" fontId="0" fillId="33" borderId="31" xfId="0" applyNumberFormat="1" applyFont="1" applyFill="1" applyBorder="1" applyAlignment="1" applyProtection="1">
      <alignment/>
      <protection/>
    </xf>
    <xf numFmtId="7" fontId="0" fillId="0" borderId="16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44" fontId="7" fillId="0" borderId="10" xfId="44" applyFont="1" applyBorder="1" applyAlignment="1" applyProtection="1">
      <alignment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5" borderId="0" xfId="0" applyFill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right"/>
    </xf>
    <xf numFmtId="10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7" fontId="6" fillId="33" borderId="32" xfId="0" applyNumberFormat="1" applyFont="1" applyFill="1" applyBorder="1" applyAlignment="1">
      <alignment/>
    </xf>
    <xf numFmtId="41" fontId="4" fillId="0" borderId="0" xfId="42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8" fontId="4" fillId="0" borderId="13" xfId="0" applyNumberFormat="1" applyFont="1" applyBorder="1" applyAlignment="1">
      <alignment/>
    </xf>
    <xf numFmtId="41" fontId="4" fillId="0" borderId="13" xfId="42" applyNumberFormat="1" applyFont="1" applyBorder="1" applyAlignment="1">
      <alignment/>
    </xf>
    <xf numFmtId="5" fontId="4" fillId="0" borderId="14" xfId="0" applyNumberFormat="1" applyFont="1" applyBorder="1" applyAlignment="1">
      <alignment/>
    </xf>
    <xf numFmtId="0" fontId="4" fillId="0" borderId="30" xfId="0" applyFont="1" applyBorder="1" applyAlignment="1">
      <alignment horizontal="centerContinuous"/>
    </xf>
    <xf numFmtId="5" fontId="4" fillId="0" borderId="31" xfId="0" applyNumberFormat="1" applyFont="1" applyBorder="1" applyAlignment="1">
      <alignment/>
    </xf>
    <xf numFmtId="0" fontId="4" fillId="0" borderId="30" xfId="0" applyFont="1" applyBorder="1" applyAlignment="1" quotePrefix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10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41" fontId="4" fillId="0" borderId="10" xfId="42" applyNumberFormat="1" applyFont="1" applyBorder="1" applyAlignment="1">
      <alignment/>
    </xf>
    <xf numFmtId="5" fontId="4" fillId="0" borderId="16" xfId="0" applyNumberFormat="1" applyFont="1" applyBorder="1" applyAlignment="1">
      <alignment/>
    </xf>
    <xf numFmtId="0" fontId="4" fillId="0" borderId="34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0" fontId="4" fillId="0" borderId="18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8" fontId="4" fillId="0" borderId="18" xfId="0" applyNumberFormat="1" applyFont="1" applyBorder="1" applyAlignment="1">
      <alignment/>
    </xf>
    <xf numFmtId="41" fontId="4" fillId="0" borderId="18" xfId="42" applyNumberFormat="1" applyFont="1" applyBorder="1" applyAlignment="1">
      <alignment/>
    </xf>
    <xf numFmtId="5" fontId="4" fillId="0" borderId="3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H1">
      <selection activeCell="V5" sqref="V5"/>
    </sheetView>
  </sheetViews>
  <sheetFormatPr defaultColWidth="9.140625" defaultRowHeight="12.75"/>
  <cols>
    <col min="21" max="21" width="9.57421875" style="0" customWidth="1"/>
    <col min="22" max="22" width="7.8515625" style="0" customWidth="1"/>
  </cols>
  <sheetData>
    <row r="1" spans="9:10" ht="12.75">
      <c r="I1" s="48">
        <v>60</v>
      </c>
      <c r="J1" t="s">
        <v>0</v>
      </c>
    </row>
    <row r="2" spans="1:18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s="47" t="s">
        <v>9</v>
      </c>
      <c r="J2" t="s">
        <v>10</v>
      </c>
      <c r="M2" t="s">
        <v>11</v>
      </c>
      <c r="N2" t="s">
        <v>12</v>
      </c>
      <c r="O2" s="2" t="s">
        <v>13</v>
      </c>
      <c r="P2" s="2"/>
      <c r="Q2" s="2"/>
      <c r="R2" s="2"/>
    </row>
    <row r="3" spans="1:25" ht="12.75">
      <c r="A3" t="s">
        <v>14</v>
      </c>
      <c r="B3" s="5">
        <v>0.12</v>
      </c>
      <c r="C3" s="1">
        <f>+(B3)/($W$3)*2000</f>
        <v>503.1446540880503</v>
      </c>
      <c r="D3" s="1">
        <v>25.2</v>
      </c>
      <c r="E3" s="5">
        <v>0.555</v>
      </c>
      <c r="F3" s="96">
        <v>0.65</v>
      </c>
      <c r="G3" s="3">
        <f>C3/2000*$V$3+M3/$X$4*($V$4/56)-N3/($W$3*2000)*$V$3+O3/$X$4*($V$4/56)-P3/($W$3*2000)*$V$3+Q3/$X$4*($V$4/56)-R3/($W$3*2000)*$V$3</f>
        <v>154.71449972890255</v>
      </c>
      <c r="H3" s="3">
        <f>+G3*0.3*(1-$H$14)</f>
        <v>42.93327367477046</v>
      </c>
      <c r="I3" s="29">
        <v>5</v>
      </c>
      <c r="J3" s="11">
        <f>+H3*I3-$I$1</f>
        <v>154.66636837385232</v>
      </c>
      <c r="K3" s="3">
        <f>+B3*$V$3*$K$14+F3*$V$4*$K$15</f>
        <v>154</v>
      </c>
      <c r="L3" s="3">
        <f>+G3-K3</f>
        <v>0.7144997289025525</v>
      </c>
      <c r="M3" s="4">
        <f>F3*2000-C3*$X$3</f>
        <v>872.3270440251572</v>
      </c>
      <c r="N3" s="4">
        <f>+M3/$X$4*$W$4</f>
        <v>99.12807318467696</v>
      </c>
      <c r="O3" s="4">
        <f>N3/$W$3*$X$3</f>
        <v>176.64331699575558</v>
      </c>
      <c r="P3" s="4">
        <f>+O3/$X$4*$W$4</f>
        <v>20.073104204063135</v>
      </c>
      <c r="Q3" s="4">
        <f>P3/$W$3*$X$3</f>
        <v>35.76968254392802</v>
      </c>
      <c r="R3" s="1">
        <f>+Q3/$X$4*$W$4</f>
        <v>4.064736652719094</v>
      </c>
      <c r="S3" s="2" t="s">
        <v>15</v>
      </c>
      <c r="T3" s="2"/>
      <c r="V3" s="105">
        <v>275</v>
      </c>
      <c r="W3" s="5">
        <v>0.477</v>
      </c>
      <c r="X3" s="5">
        <v>0.85</v>
      </c>
      <c r="Y3">
        <f>+V3/(W3*20)</f>
        <v>28.825995807127885</v>
      </c>
    </row>
    <row r="4" spans="1:25" ht="12.75">
      <c r="A4" t="s">
        <v>16</v>
      </c>
      <c r="B4" s="5">
        <v>0.1</v>
      </c>
      <c r="C4" s="1">
        <f aca="true" t="shared" si="0" ref="C4:C12">+(B4)/($W$3)*2000</f>
        <v>419.287211740042</v>
      </c>
      <c r="D4" s="1">
        <v>26.5</v>
      </c>
      <c r="E4" s="5">
        <v>0.586</v>
      </c>
      <c r="F4" s="96">
        <v>0.65</v>
      </c>
      <c r="G4" s="3">
        <f aca="true" t="shared" si="1" ref="G4:G12">C4/2000*$V$3+M4/$X$4*($V$4/56)-N4/($W$3*2000)*$V$3+O4/$X$4*($V$4/56)-P4/($W$3*2000)*$V$3+Q4/$X$4*($V$4/56)-R4/($W$3*2000)*$V$3</f>
        <v>150.17302650319414</v>
      </c>
      <c r="H4" s="3">
        <f aca="true" t="shared" si="2" ref="H4:H11">+G4*0.3*(1-$H$14)</f>
        <v>41.67301485463637</v>
      </c>
      <c r="I4" s="29">
        <v>7</v>
      </c>
      <c r="J4" s="11">
        <f aca="true" t="shared" si="3" ref="J4:J11">+H4*I4-$I$1</f>
        <v>231.71110398245457</v>
      </c>
      <c r="K4" s="3">
        <f aca="true" t="shared" si="4" ref="K4:K12">+B4*$V$3*$K$14+F4*$V$4*$K$15</f>
        <v>147.4</v>
      </c>
      <c r="L4" s="3">
        <f aca="true" t="shared" si="5" ref="L4:L12">+G4-K4</f>
        <v>2.7730265031941315</v>
      </c>
      <c r="M4" s="4">
        <f aca="true" t="shared" si="6" ref="M4:M12">F4*2000-C4*$X$3</f>
        <v>943.6058700209644</v>
      </c>
      <c r="N4" s="4">
        <f aca="true" t="shared" si="7" ref="N4:N12">+M4/$X$4*$W$4</f>
        <v>107.2279397751096</v>
      </c>
      <c r="O4" s="4">
        <f aca="true" t="shared" si="8" ref="O4:O12">N4/$W$3*$X$3</f>
        <v>191.07704152797308</v>
      </c>
      <c r="P4" s="4">
        <f aca="true" t="shared" si="9" ref="P4:P12">+O4/$X$4*$W$4</f>
        <v>21.713300173633307</v>
      </c>
      <c r="Q4" s="4">
        <f aca="true" t="shared" si="10" ref="Q4:Q12">P4/$W$3*$X$3</f>
        <v>38.69246362177843</v>
      </c>
      <c r="R4" s="1">
        <f aca="true" t="shared" si="11" ref="R4:R12">+Q4/$X$4*$W$4</f>
        <v>4.396870866111185</v>
      </c>
      <c r="S4" t="s">
        <v>17</v>
      </c>
      <c r="V4" s="105">
        <v>5.5</v>
      </c>
      <c r="W4" s="5">
        <v>0.1</v>
      </c>
      <c r="X4" s="5">
        <v>0.88</v>
      </c>
      <c r="Y4">
        <f>+V4/(X4*0.56)</f>
        <v>11.160714285714285</v>
      </c>
    </row>
    <row r="5" spans="1:24" ht="12.75">
      <c r="A5" t="s">
        <v>18</v>
      </c>
      <c r="B5" s="5">
        <v>0.084</v>
      </c>
      <c r="C5" s="1">
        <f t="shared" si="0"/>
        <v>352.20125786163527</v>
      </c>
      <c r="D5" s="1">
        <v>27</v>
      </c>
      <c r="E5" s="5">
        <v>0.537</v>
      </c>
      <c r="F5" s="96">
        <v>0.65</v>
      </c>
      <c r="G5" s="3">
        <f t="shared" si="1"/>
        <v>146.53984792262727</v>
      </c>
      <c r="H5" s="3">
        <f t="shared" si="2"/>
        <v>40.66480779852907</v>
      </c>
      <c r="I5" s="29">
        <v>9</v>
      </c>
      <c r="J5" s="11">
        <f t="shared" si="3"/>
        <v>305.9832701867616</v>
      </c>
      <c r="K5" s="3">
        <f t="shared" si="4"/>
        <v>142.12</v>
      </c>
      <c r="L5" s="3">
        <f t="shared" si="5"/>
        <v>4.4198479226272696</v>
      </c>
      <c r="M5" s="4">
        <f t="shared" si="6"/>
        <v>1000.62893081761</v>
      </c>
      <c r="N5" s="4">
        <f t="shared" si="7"/>
        <v>113.7078330474557</v>
      </c>
      <c r="O5" s="4">
        <f t="shared" si="8"/>
        <v>202.62402115374707</v>
      </c>
      <c r="P5" s="4">
        <f t="shared" si="9"/>
        <v>23.025456949289442</v>
      </c>
      <c r="Q5" s="4">
        <f t="shared" si="10"/>
        <v>41.03068848405876</v>
      </c>
      <c r="R5" s="1">
        <f t="shared" si="11"/>
        <v>4.662578236824859</v>
      </c>
      <c r="X5" t="s">
        <v>19</v>
      </c>
    </row>
    <row r="6" spans="1:18" ht="12.75">
      <c r="A6" t="s">
        <v>20</v>
      </c>
      <c r="B6" s="5">
        <v>0.095</v>
      </c>
      <c r="C6" s="1">
        <f t="shared" si="0"/>
        <v>398.32285115303984</v>
      </c>
      <c r="D6" s="1">
        <v>25.6</v>
      </c>
      <c r="E6" s="5">
        <v>0.514</v>
      </c>
      <c r="F6" s="96">
        <v>0.65</v>
      </c>
      <c r="G6" s="3">
        <f t="shared" si="1"/>
        <v>149.03765819676698</v>
      </c>
      <c r="H6" s="3">
        <f t="shared" si="2"/>
        <v>41.357950149602836</v>
      </c>
      <c r="I6" s="29">
        <v>11</v>
      </c>
      <c r="J6" s="11">
        <f t="shared" si="3"/>
        <v>394.9374516456312</v>
      </c>
      <c r="K6" s="3">
        <f t="shared" si="4"/>
        <v>145.75</v>
      </c>
      <c r="L6" s="3">
        <f t="shared" si="5"/>
        <v>3.2876581967669836</v>
      </c>
      <c r="M6" s="4">
        <f t="shared" si="6"/>
        <v>961.4255765199161</v>
      </c>
      <c r="N6" s="4">
        <f t="shared" si="7"/>
        <v>109.25290642271776</v>
      </c>
      <c r="O6" s="4">
        <f t="shared" si="8"/>
        <v>194.68547266102743</v>
      </c>
      <c r="P6" s="4">
        <f t="shared" si="9"/>
        <v>22.123349166025847</v>
      </c>
      <c r="Q6" s="4">
        <f t="shared" si="10"/>
        <v>39.42315889124103</v>
      </c>
      <c r="R6" s="1">
        <f t="shared" si="11"/>
        <v>4.479904419459208</v>
      </c>
    </row>
    <row r="7" spans="1:18" ht="12.75">
      <c r="A7" t="s">
        <v>21</v>
      </c>
      <c r="B7" s="5">
        <v>0.094</v>
      </c>
      <c r="C7" s="1">
        <f t="shared" si="0"/>
        <v>394.12997903563945</v>
      </c>
      <c r="D7" s="1">
        <v>33.2</v>
      </c>
      <c r="E7" s="5">
        <v>0.546</v>
      </c>
      <c r="F7" s="96">
        <v>0.65</v>
      </c>
      <c r="G7" s="3">
        <f t="shared" si="1"/>
        <v>148.81058453548152</v>
      </c>
      <c r="H7" s="3">
        <f t="shared" si="2"/>
        <v>41.294937208596124</v>
      </c>
      <c r="I7" s="29">
        <v>13</v>
      </c>
      <c r="J7" s="11">
        <f t="shared" si="3"/>
        <v>476.8341837117496</v>
      </c>
      <c r="K7" s="3">
        <f t="shared" si="4"/>
        <v>145.42000000000002</v>
      </c>
      <c r="L7" s="3">
        <f t="shared" si="5"/>
        <v>3.3905845354815085</v>
      </c>
      <c r="M7" s="4">
        <f t="shared" si="6"/>
        <v>964.9895178197064</v>
      </c>
      <c r="N7" s="4">
        <f t="shared" si="7"/>
        <v>109.65789975223936</v>
      </c>
      <c r="O7" s="4">
        <f t="shared" si="8"/>
        <v>195.40715888763827</v>
      </c>
      <c r="P7" s="4">
        <f t="shared" si="9"/>
        <v>22.205358964504352</v>
      </c>
      <c r="Q7" s="4">
        <f t="shared" si="10"/>
        <v>39.56929794513354</v>
      </c>
      <c r="R7" s="1">
        <f t="shared" si="11"/>
        <v>4.496511130128812</v>
      </c>
    </row>
    <row r="8" spans="1:23" ht="12.75">
      <c r="A8" t="s">
        <v>22</v>
      </c>
      <c r="B8" s="5">
        <v>0.075</v>
      </c>
      <c r="C8" s="1">
        <f t="shared" si="0"/>
        <v>314.4654088050314</v>
      </c>
      <c r="D8" s="1">
        <v>32</v>
      </c>
      <c r="E8" s="5">
        <v>0.52</v>
      </c>
      <c r="F8" s="96">
        <v>0.65</v>
      </c>
      <c r="G8" s="3">
        <f t="shared" si="1"/>
        <v>144.49618497105843</v>
      </c>
      <c r="H8" s="3">
        <f t="shared" si="2"/>
        <v>40.09769132946872</v>
      </c>
      <c r="I8" s="29">
        <v>15</v>
      </c>
      <c r="J8" s="11">
        <f t="shared" si="3"/>
        <v>541.4653699420307</v>
      </c>
      <c r="K8" s="3">
        <f t="shared" si="4"/>
        <v>139.15</v>
      </c>
      <c r="L8" s="3">
        <f t="shared" si="5"/>
        <v>5.34618497105842</v>
      </c>
      <c r="M8" s="4">
        <f t="shared" si="6"/>
        <v>1032.7044025157234</v>
      </c>
      <c r="N8" s="4">
        <f t="shared" si="7"/>
        <v>117.3527730131504</v>
      </c>
      <c r="O8" s="4">
        <f t="shared" si="8"/>
        <v>209.11919719324496</v>
      </c>
      <c r="P8" s="4">
        <f t="shared" si="9"/>
        <v>23.76354513559602</v>
      </c>
      <c r="Q8" s="4">
        <f t="shared" si="10"/>
        <v>42.34593996909144</v>
      </c>
      <c r="R8" s="1">
        <f t="shared" si="11"/>
        <v>4.8120386328513005</v>
      </c>
      <c r="T8" s="106">
        <v>275</v>
      </c>
      <c r="U8" s="107">
        <v>300</v>
      </c>
      <c r="V8" s="107">
        <v>325</v>
      </c>
      <c r="W8" s="107">
        <v>350</v>
      </c>
    </row>
    <row r="9" spans="1:23" ht="12.75">
      <c r="A9" t="s">
        <v>23</v>
      </c>
      <c r="B9" s="5">
        <v>0.073</v>
      </c>
      <c r="C9" s="1">
        <f t="shared" si="0"/>
        <v>306.0796645702306</v>
      </c>
      <c r="D9" s="1">
        <v>27.1</v>
      </c>
      <c r="E9" s="5">
        <v>0.444</v>
      </c>
      <c r="F9" s="96">
        <v>0.68</v>
      </c>
      <c r="G9" s="3">
        <f t="shared" si="1"/>
        <v>149.92506812731767</v>
      </c>
      <c r="H9" s="3">
        <f t="shared" si="2"/>
        <v>41.60420640533065</v>
      </c>
      <c r="I9" s="29">
        <v>16</v>
      </c>
      <c r="J9" s="11">
        <f t="shared" si="3"/>
        <v>605.6673024852904</v>
      </c>
      <c r="K9" s="3">
        <f t="shared" si="4"/>
        <v>143.77</v>
      </c>
      <c r="L9" s="3">
        <f t="shared" si="5"/>
        <v>6.155068127317662</v>
      </c>
      <c r="M9" s="4">
        <f t="shared" si="6"/>
        <v>1099.8322851153039</v>
      </c>
      <c r="N9" s="4">
        <f t="shared" si="7"/>
        <v>124.98094149037546</v>
      </c>
      <c r="O9" s="4">
        <f t="shared" si="8"/>
        <v>222.71236953211562</v>
      </c>
      <c r="P9" s="4">
        <f t="shared" si="9"/>
        <v>25.308223810467684</v>
      </c>
      <c r="Q9" s="4">
        <f t="shared" si="10"/>
        <v>45.09851203123172</v>
      </c>
      <c r="R9" s="1">
        <f t="shared" si="11"/>
        <v>5.124830912639968</v>
      </c>
      <c r="S9" s="108">
        <v>5.5</v>
      </c>
      <c r="T9" s="7">
        <v>0.8257224046742737</v>
      </c>
      <c r="U9" s="7">
        <v>0.9756062852307424</v>
      </c>
      <c r="V9" s="7">
        <v>1.1024311072400657</v>
      </c>
      <c r="W9" s="7">
        <v>1.211138097533773</v>
      </c>
    </row>
    <row r="10" spans="1:23" ht="13.5" thickBot="1">
      <c r="A10" t="s">
        <v>24</v>
      </c>
      <c r="B10" s="5">
        <v>0.071</v>
      </c>
      <c r="C10" s="1">
        <f t="shared" si="0"/>
        <v>297.69392033542977</v>
      </c>
      <c r="D10" s="1">
        <v>23.9</v>
      </c>
      <c r="E10" s="5">
        <v>0.405</v>
      </c>
      <c r="F10" s="96">
        <v>0.7</v>
      </c>
      <c r="G10" s="3">
        <f t="shared" si="1"/>
        <v>153.39294112396686</v>
      </c>
      <c r="H10" s="3">
        <f t="shared" si="2"/>
        <v>42.56654116190081</v>
      </c>
      <c r="I10" s="29">
        <v>17</v>
      </c>
      <c r="J10" s="11">
        <f t="shared" si="3"/>
        <v>663.6311997523137</v>
      </c>
      <c r="K10" s="3">
        <f t="shared" si="4"/>
        <v>146.63</v>
      </c>
      <c r="L10" s="3">
        <f t="shared" si="5"/>
        <v>6.762941123966868</v>
      </c>
      <c r="M10" s="4">
        <f t="shared" si="6"/>
        <v>1146.9601677148846</v>
      </c>
      <c r="N10" s="4">
        <f t="shared" si="7"/>
        <v>130.33638269487327</v>
      </c>
      <c r="O10" s="4">
        <f t="shared" si="8"/>
        <v>232.25560857576994</v>
      </c>
      <c r="P10" s="4">
        <f t="shared" si="9"/>
        <v>26.39268279270113</v>
      </c>
      <c r="Q10" s="4">
        <f t="shared" si="10"/>
        <v>47.03098610858692</v>
      </c>
      <c r="R10" s="1">
        <f t="shared" si="11"/>
        <v>5.344430239612151</v>
      </c>
      <c r="S10" s="108"/>
      <c r="T10" s="8">
        <v>35.65473017472774</v>
      </c>
      <c r="U10" s="8">
        <v>34.308179803952825</v>
      </c>
      <c r="V10" s="8">
        <v>32.961629433178224</v>
      </c>
      <c r="W10" s="8">
        <v>31.61507906240372</v>
      </c>
    </row>
    <row r="11" spans="1:24" ht="12.75">
      <c r="A11" t="s">
        <v>25</v>
      </c>
      <c r="B11" s="5">
        <v>0.07</v>
      </c>
      <c r="C11" s="1">
        <f t="shared" si="0"/>
        <v>293.50104821802944</v>
      </c>
      <c r="D11" s="1">
        <v>24.2</v>
      </c>
      <c r="E11" s="5">
        <v>0.413</v>
      </c>
      <c r="F11" s="96">
        <v>0.66</v>
      </c>
      <c r="G11" s="3">
        <f t="shared" si="1"/>
        <v>145.32182682424136</v>
      </c>
      <c r="H11" s="3">
        <f t="shared" si="2"/>
        <v>40.32680694372698</v>
      </c>
      <c r="I11" s="29">
        <v>18</v>
      </c>
      <c r="J11" s="11">
        <f t="shared" si="3"/>
        <v>665.8825249870856</v>
      </c>
      <c r="K11" s="3">
        <f t="shared" si="4"/>
        <v>139.26000000000002</v>
      </c>
      <c r="L11" s="3">
        <f t="shared" si="5"/>
        <v>6.0618268242413365</v>
      </c>
      <c r="M11" s="4">
        <f t="shared" si="6"/>
        <v>1070.524109014675</v>
      </c>
      <c r="N11" s="4">
        <f t="shared" si="7"/>
        <v>121.65046693348582</v>
      </c>
      <c r="O11" s="4">
        <f t="shared" si="8"/>
        <v>216.77756162151562</v>
      </c>
      <c r="P11" s="4">
        <f t="shared" si="9"/>
        <v>24.633813820626777</v>
      </c>
      <c r="Q11" s="4">
        <f t="shared" si="10"/>
        <v>43.89673322333912</v>
      </c>
      <c r="R11" s="1">
        <f t="shared" si="11"/>
        <v>4.988265139015809</v>
      </c>
      <c r="S11" s="108">
        <v>6</v>
      </c>
      <c r="T11" s="7">
        <v>0.6622127167944867</v>
      </c>
      <c r="U11" s="7">
        <v>0.8257224046742743</v>
      </c>
      <c r="V11" s="7">
        <v>0.9640767559571712</v>
      </c>
      <c r="W11" s="7">
        <v>1.0826661999139386</v>
      </c>
      <c r="X11" s="7"/>
    </row>
    <row r="12" spans="1:24" ht="13.5" thickBot="1">
      <c r="A12" s="2" t="s">
        <v>26</v>
      </c>
      <c r="B12" s="5">
        <v>0.21</v>
      </c>
      <c r="C12" s="1">
        <f t="shared" si="0"/>
        <v>880.503144654088</v>
      </c>
      <c r="D12" s="1">
        <v>31.35</v>
      </c>
      <c r="E12" s="5">
        <v>0.4465</v>
      </c>
      <c r="F12" s="96">
        <f>(88.9-0.779*D12)/100</f>
        <v>0.6447835000000001</v>
      </c>
      <c r="G12" s="3">
        <f t="shared" si="1"/>
        <v>174.12816829483035</v>
      </c>
      <c r="H12" s="3"/>
      <c r="I12" s="29">
        <v>0</v>
      </c>
      <c r="J12" s="29"/>
      <c r="K12" s="3">
        <f t="shared" si="4"/>
        <v>182.78189600000002</v>
      </c>
      <c r="L12" s="3">
        <f t="shared" si="5"/>
        <v>-8.653727705169672</v>
      </c>
      <c r="M12" s="4">
        <f t="shared" si="6"/>
        <v>541.1393270440254</v>
      </c>
      <c r="N12" s="4">
        <f t="shared" si="7"/>
        <v>61.49310534591198</v>
      </c>
      <c r="O12" s="4">
        <f t="shared" si="8"/>
        <v>109.57890889732742</v>
      </c>
      <c r="P12" s="4">
        <f t="shared" si="9"/>
        <v>12.452148738332662</v>
      </c>
      <c r="Q12" s="4">
        <f t="shared" si="10"/>
        <v>22.189363579838076</v>
      </c>
      <c r="R12" s="1">
        <f t="shared" si="11"/>
        <v>2.5215185886179636</v>
      </c>
      <c r="S12" s="108"/>
      <c r="T12" s="8">
        <v>36.889068014604646</v>
      </c>
      <c r="U12" s="8">
        <v>35.654730174727746</v>
      </c>
      <c r="V12" s="8">
        <v>34.420392334850966</v>
      </c>
      <c r="W12" s="8">
        <v>33.18605449497418</v>
      </c>
      <c r="X12" s="7"/>
    </row>
    <row r="13" spans="19:24" ht="12.75">
      <c r="S13" s="108">
        <v>6.5</v>
      </c>
      <c r="T13" s="7">
        <v>0.49870302891469415</v>
      </c>
      <c r="U13" s="7">
        <v>0.6758385241177992</v>
      </c>
      <c r="V13" s="7">
        <v>0.825722404674273</v>
      </c>
      <c r="W13" s="7">
        <v>0.9541943022941051</v>
      </c>
      <c r="X13" s="7"/>
    </row>
    <row r="14" spans="6:24" ht="13.5" thickBot="1">
      <c r="F14" t="s">
        <v>126</v>
      </c>
      <c r="H14" s="110">
        <v>0.075</v>
      </c>
      <c r="K14">
        <v>1.2</v>
      </c>
      <c r="S14" s="108"/>
      <c r="T14" s="8">
        <v>37.9335077252694</v>
      </c>
      <c r="U14" s="8">
        <v>36.79411894999848</v>
      </c>
      <c r="V14" s="8">
        <v>35.65473017472775</v>
      </c>
      <c r="W14" s="8">
        <v>34.5153413994567</v>
      </c>
      <c r="X14" s="7"/>
    </row>
    <row r="15" spans="11:24" ht="12.75">
      <c r="K15">
        <v>32</v>
      </c>
      <c r="M15" t="s">
        <v>27</v>
      </c>
      <c r="S15" s="108">
        <v>7</v>
      </c>
      <c r="T15" s="7">
        <v>0.3351933410349113</v>
      </c>
      <c r="U15" s="7">
        <v>0.5259546435613297</v>
      </c>
      <c r="V15" s="7">
        <v>0.6873680533913769</v>
      </c>
      <c r="W15" s="7">
        <v>0.8257224046742732</v>
      </c>
      <c r="X15" s="7"/>
    </row>
    <row r="16" spans="13:24" ht="13.5" thickBot="1">
      <c r="M16" s="109" t="s">
        <v>123</v>
      </c>
      <c r="N16" s="109" t="s">
        <v>124</v>
      </c>
      <c r="O16" s="109" t="s">
        <v>125</v>
      </c>
      <c r="S16" s="10"/>
      <c r="T16" s="8">
        <v>38.82874176298234</v>
      </c>
      <c r="U16" s="8">
        <v>37.77073790023071</v>
      </c>
      <c r="V16" s="8">
        <v>36.71273403747921</v>
      </c>
      <c r="W16" s="8">
        <v>35.65473017472768</v>
      </c>
      <c r="X16" s="7"/>
    </row>
    <row r="17" spans="13:17" ht="12.75">
      <c r="M17" s="98">
        <f>+G3</f>
        <v>154.71449972890255</v>
      </c>
      <c r="N17" s="99">
        <f>+B3*$V$3</f>
        <v>33</v>
      </c>
      <c r="O17" s="100">
        <f>+F3*$V$4</f>
        <v>3.575</v>
      </c>
      <c r="Q17" t="s">
        <v>28</v>
      </c>
    </row>
    <row r="18" spans="13:15" ht="13.5" thickBot="1">
      <c r="M18" s="101">
        <f aca="true" t="shared" si="12" ref="M18:M26">+G4</f>
        <v>150.17302650319414</v>
      </c>
      <c r="N18" s="41">
        <f aca="true" t="shared" si="13" ref="N18:N26">+B4*$V$3</f>
        <v>27.5</v>
      </c>
      <c r="O18" s="102">
        <f aca="true" t="shared" si="14" ref="O18:O26">+F4*$V$4</f>
        <v>3.575</v>
      </c>
    </row>
    <row r="19" spans="13:18" ht="12.75">
      <c r="M19" s="101">
        <f t="shared" si="12"/>
        <v>146.53984792262727</v>
      </c>
      <c r="N19" s="41">
        <f t="shared" si="13"/>
        <v>23.1</v>
      </c>
      <c r="O19" s="102">
        <f t="shared" si="14"/>
        <v>3.575</v>
      </c>
      <c r="Q19" s="134" t="s">
        <v>29</v>
      </c>
      <c r="R19" s="134"/>
    </row>
    <row r="20" spans="13:18" ht="12.75">
      <c r="M20" s="101">
        <f t="shared" si="12"/>
        <v>149.03765819676698</v>
      </c>
      <c r="N20" s="41">
        <f t="shared" si="13"/>
        <v>26.125</v>
      </c>
      <c r="O20" s="102">
        <f t="shared" si="14"/>
        <v>3.575</v>
      </c>
      <c r="Q20" s="7" t="s">
        <v>30</v>
      </c>
      <c r="R20" s="7">
        <v>1</v>
      </c>
    </row>
    <row r="21" spans="13:18" ht="12.75">
      <c r="M21" s="101">
        <f t="shared" si="12"/>
        <v>148.81058453548152</v>
      </c>
      <c r="N21" s="41">
        <f t="shared" si="13"/>
        <v>25.85</v>
      </c>
      <c r="O21" s="102">
        <f t="shared" si="14"/>
        <v>3.575</v>
      </c>
      <c r="Q21" s="7" t="s">
        <v>31</v>
      </c>
      <c r="R21" s="7">
        <v>1</v>
      </c>
    </row>
    <row r="22" spans="13:18" ht="12.75">
      <c r="M22" s="101">
        <f t="shared" si="12"/>
        <v>144.49618497105843</v>
      </c>
      <c r="N22" s="41">
        <f t="shared" si="13"/>
        <v>20.625</v>
      </c>
      <c r="O22" s="102">
        <f t="shared" si="14"/>
        <v>3.575</v>
      </c>
      <c r="Q22" s="7" t="s">
        <v>32</v>
      </c>
      <c r="R22" s="7">
        <v>1</v>
      </c>
    </row>
    <row r="23" spans="13:18" ht="12.75">
      <c r="M23" s="101">
        <f t="shared" si="12"/>
        <v>149.92506812731767</v>
      </c>
      <c r="N23" s="41">
        <f t="shared" si="13"/>
        <v>20.075</v>
      </c>
      <c r="O23" s="102">
        <f t="shared" si="14"/>
        <v>3.74</v>
      </c>
      <c r="Q23" s="7" t="s">
        <v>33</v>
      </c>
      <c r="R23" s="7">
        <v>3.0712736936276594E-14</v>
      </c>
    </row>
    <row r="24" spans="13:18" ht="13.5" thickBot="1">
      <c r="M24" s="101">
        <f t="shared" si="12"/>
        <v>153.39294112396686</v>
      </c>
      <c r="N24" s="41">
        <f t="shared" si="13"/>
        <v>19.525</v>
      </c>
      <c r="O24" s="102">
        <f t="shared" si="14"/>
        <v>3.8499999999999996</v>
      </c>
      <c r="Q24" s="8" t="s">
        <v>34</v>
      </c>
      <c r="R24" s="8">
        <v>9</v>
      </c>
    </row>
    <row r="25" spans="13:15" ht="13.5" thickBot="1">
      <c r="M25" s="103">
        <f t="shared" si="12"/>
        <v>145.32182682424136</v>
      </c>
      <c r="N25" s="104">
        <f t="shared" si="13"/>
        <v>19.250000000000004</v>
      </c>
      <c r="O25" s="93">
        <f t="shared" si="14"/>
        <v>3.6300000000000003</v>
      </c>
    </row>
    <row r="26" spans="13:17" ht="13.5" thickBot="1">
      <c r="M26" s="3">
        <f t="shared" si="12"/>
        <v>174.12816829483035</v>
      </c>
      <c r="N26">
        <f t="shared" si="13"/>
        <v>57.75</v>
      </c>
      <c r="O26">
        <f t="shared" si="14"/>
        <v>3.54630925</v>
      </c>
      <c r="Q26" t="s">
        <v>35</v>
      </c>
    </row>
    <row r="27" spans="1:22" ht="12.75">
      <c r="A27" s="2" t="s">
        <v>36</v>
      </c>
      <c r="D27" s="6">
        <f>+B3</f>
        <v>0.12</v>
      </c>
      <c r="E27" s="5">
        <f>+F3</f>
        <v>0.65</v>
      </c>
      <c r="Q27" s="133"/>
      <c r="R27" s="133" t="s">
        <v>37</v>
      </c>
      <c r="S27" s="133" t="s">
        <v>38</v>
      </c>
      <c r="T27" s="133" t="s">
        <v>39</v>
      </c>
      <c r="U27" s="133" t="s">
        <v>40</v>
      </c>
      <c r="V27" s="133" t="s">
        <v>41</v>
      </c>
    </row>
    <row r="28" spans="1:22" ht="12.75">
      <c r="A28" s="2" t="s">
        <v>42</v>
      </c>
      <c r="D28" s="1">
        <f>+D27*K14</f>
        <v>0.144</v>
      </c>
      <c r="E28">
        <f>+E27*K15</f>
        <v>20.8</v>
      </c>
      <c r="F28" s="2" t="s">
        <v>43</v>
      </c>
      <c r="Q28" s="7" t="s">
        <v>44</v>
      </c>
      <c r="R28" s="7">
        <v>2</v>
      </c>
      <c r="S28" s="7">
        <v>93.86671989794279</v>
      </c>
      <c r="T28" s="7">
        <v>46.93335994897139</v>
      </c>
      <c r="U28" s="7">
        <v>4.975590232129652E+28</v>
      </c>
      <c r="V28" s="7">
        <v>2.1919464727502176E-85</v>
      </c>
    </row>
    <row r="29" spans="1:22" ht="12.75">
      <c r="A29" t="s">
        <v>45</v>
      </c>
      <c r="D29">
        <f>+D28*V3</f>
        <v>39.599999999999994</v>
      </c>
      <c r="E29">
        <f>+E28*V4</f>
        <v>114.4</v>
      </c>
      <c r="Q29" s="7" t="s">
        <v>46</v>
      </c>
      <c r="R29" s="7">
        <v>6</v>
      </c>
      <c r="S29" s="7">
        <v>5.659633260701573E-27</v>
      </c>
      <c r="T29" s="7">
        <v>9.432722101169288E-28</v>
      </c>
      <c r="U29" s="7"/>
      <c r="V29" s="7"/>
    </row>
    <row r="30" spans="5:22" ht="13.5" thickBot="1">
      <c r="E30">
        <f>+D29+E29</f>
        <v>154</v>
      </c>
      <c r="F30" t="s">
        <v>47</v>
      </c>
      <c r="G30">
        <v>0.3</v>
      </c>
      <c r="Q30" s="8" t="s">
        <v>48</v>
      </c>
      <c r="R30" s="8">
        <v>8</v>
      </c>
      <c r="S30" s="8">
        <v>93.86671989794279</v>
      </c>
      <c r="T30" s="8"/>
      <c r="U30" s="8"/>
      <c r="V30" s="8"/>
    </row>
    <row r="31" spans="5:26" ht="13.5" thickBot="1">
      <c r="E31">
        <f>+E30*G30</f>
        <v>46.199999999999996</v>
      </c>
      <c r="Z31" s="13"/>
    </row>
    <row r="32" spans="17:26" ht="12.75">
      <c r="Q32" s="133"/>
      <c r="R32" s="133" t="s">
        <v>49</v>
      </c>
      <c r="S32" s="133" t="s">
        <v>33</v>
      </c>
      <c r="T32" s="133" t="s">
        <v>50</v>
      </c>
      <c r="U32" s="133" t="s">
        <v>51</v>
      </c>
      <c r="V32" s="133" t="s">
        <v>52</v>
      </c>
      <c r="W32" s="133" t="s">
        <v>53</v>
      </c>
      <c r="X32" s="133" t="s">
        <v>54</v>
      </c>
      <c r="Y32" s="133" t="s">
        <v>55</v>
      </c>
      <c r="Z32" s="97"/>
    </row>
    <row r="33" spans="17:26" ht="12.75">
      <c r="Q33" s="7" t="s">
        <v>56</v>
      </c>
      <c r="R33" s="7">
        <v>-1.4210854715202004E-13</v>
      </c>
      <c r="S33" s="7">
        <v>5.251611718808982E-13</v>
      </c>
      <c r="T33" s="7">
        <v>-0.2705998744024605</v>
      </c>
      <c r="U33" s="7">
        <v>0.795766493285975</v>
      </c>
      <c r="V33" s="7">
        <v>-1.42713163991386E-12</v>
      </c>
      <c r="W33" s="7">
        <v>1.14291454560982E-12</v>
      </c>
      <c r="X33" s="7">
        <v>-1.42713163991386E-12</v>
      </c>
      <c r="Y33" s="7">
        <v>1.14291454560982E-12</v>
      </c>
      <c r="Z33" s="7"/>
    </row>
    <row r="34" spans="16:26" ht="12.75">
      <c r="P34" s="135"/>
      <c r="Q34" s="7" t="s">
        <v>57</v>
      </c>
      <c r="R34" s="7">
        <v>0.8257224046742737</v>
      </c>
      <c r="S34" s="7">
        <v>2.8529612883945547E-15</v>
      </c>
      <c r="T34" s="7">
        <v>289426431418188.6</v>
      </c>
      <c r="U34" s="7">
        <v>1.1483509489725502E-85</v>
      </c>
      <c r="V34" s="7">
        <v>0.8257224046742667</v>
      </c>
      <c r="W34" s="7">
        <v>0.8257224046742807</v>
      </c>
      <c r="X34" s="7">
        <v>0.8257224046742667</v>
      </c>
      <c r="Y34" s="7">
        <v>0.8257224046742807</v>
      </c>
      <c r="Z34" s="7"/>
    </row>
    <row r="35" spans="16:26" ht="13.5" thickBot="1">
      <c r="P35" s="135"/>
      <c r="Q35" s="8" t="s">
        <v>58</v>
      </c>
      <c r="R35" s="8">
        <v>35.65473017472774</v>
      </c>
      <c r="S35" s="8">
        <v>1.3313819345841277E-13</v>
      </c>
      <c r="T35" s="8">
        <v>267802418288519.88</v>
      </c>
      <c r="U35" s="8">
        <v>1.8298555443117786E-85</v>
      </c>
      <c r="V35" s="8">
        <v>35.65473017472741</v>
      </c>
      <c r="W35" s="8">
        <v>35.654730174728066</v>
      </c>
      <c r="X35" s="8">
        <v>35.65473017472741</v>
      </c>
      <c r="Y35" s="8">
        <v>35.654730174728066</v>
      </c>
      <c r="Z35" s="7"/>
    </row>
    <row r="36" ht="12.75">
      <c r="Z36" s="13"/>
    </row>
    <row r="39" ht="12.75">
      <c r="Q39" t="s">
        <v>59</v>
      </c>
    </row>
    <row r="40" ht="13.5" thickBot="1"/>
    <row r="41" spans="17:20" ht="12.75">
      <c r="Q41" s="9" t="s">
        <v>60</v>
      </c>
      <c r="R41" s="9" t="s">
        <v>61</v>
      </c>
      <c r="S41" s="9" t="s">
        <v>62</v>
      </c>
      <c r="T41" s="97"/>
    </row>
    <row r="42" spans="17:20" ht="12.75">
      <c r="Q42" s="7">
        <v>1</v>
      </c>
      <c r="R42" s="7">
        <v>130.31768511285568</v>
      </c>
      <c r="S42" s="7">
        <v>4.547473508864641E-13</v>
      </c>
      <c r="T42" s="7"/>
    </row>
    <row r="43" spans="17:20" ht="12.75">
      <c r="Q43" s="7">
        <v>2</v>
      </c>
      <c r="R43" s="7">
        <v>117.76166965349815</v>
      </c>
      <c r="S43" s="7">
        <v>1.1368683772161603E-13</v>
      </c>
      <c r="T43" s="7"/>
    </row>
    <row r="44" spans="17:20" ht="12.75">
      <c r="Q44" s="7">
        <v>3</v>
      </c>
      <c r="R44" s="7">
        <v>111.63300424746528</v>
      </c>
      <c r="S44" s="7">
        <v>-2.842170943040401E-14</v>
      </c>
      <c r="T44" s="7"/>
    </row>
    <row r="45" spans="17:20" ht="12.75">
      <c r="Q45" s="7">
        <v>4</v>
      </c>
      <c r="R45" s="7">
        <v>116.286836159354</v>
      </c>
      <c r="S45" s="7">
        <v>2.1316282072803006E-13</v>
      </c>
      <c r="T45" s="7"/>
    </row>
    <row r="46" spans="17:20" ht="12.75">
      <c r="Q46" s="7">
        <v>5</v>
      </c>
      <c r="R46" s="7">
        <v>108.42379749845897</v>
      </c>
      <c r="S46" s="7">
        <v>-7.247535904753022E-13</v>
      </c>
      <c r="T46" s="7"/>
    </row>
    <row r="47" spans="17:20" ht="12.75">
      <c r="Q47" s="7">
        <v>6</v>
      </c>
      <c r="R47" s="7">
        <v>103.98767842707973</v>
      </c>
      <c r="S47" s="7">
        <v>-6.679101716144942E-13</v>
      </c>
      <c r="T47" s="7"/>
    </row>
    <row r="48" spans="17:20" ht="12.75">
      <c r="Q48" s="7">
        <v>7</v>
      </c>
      <c r="R48" s="7">
        <v>108.2734724738411</v>
      </c>
      <c r="S48" s="7">
        <v>-7.105427357601002E-14</v>
      </c>
      <c r="T48" s="7"/>
    </row>
    <row r="49" spans="17:20" ht="12.75">
      <c r="Q49" s="7">
        <v>8</v>
      </c>
      <c r="R49" s="7">
        <v>110.86672018594886</v>
      </c>
      <c r="S49" s="7">
        <v>3.126388037344441E-13</v>
      </c>
      <c r="T49" s="7"/>
    </row>
    <row r="50" spans="17:20" ht="12.75">
      <c r="Q50" s="7">
        <v>9</v>
      </c>
      <c r="R50" s="7">
        <v>110.2716746091546</v>
      </c>
      <c r="S50" s="7">
        <v>2.5579538487363607E-13</v>
      </c>
      <c r="T50" s="7"/>
    </row>
    <row r="51" spans="17:20" ht="13.5" thickBot="1">
      <c r="Q51" s="8">
        <v>10</v>
      </c>
      <c r="R51" s="8">
        <v>144.64355397904242</v>
      </c>
      <c r="S51" s="8">
        <v>-5.684341886080802E-14</v>
      </c>
      <c r="T51" s="7"/>
    </row>
    <row r="52" spans="17:20" ht="13.5" thickBot="1">
      <c r="Q52" s="8">
        <v>10</v>
      </c>
      <c r="R52" s="8">
        <v>145.796630859375</v>
      </c>
      <c r="S52" s="8">
        <v>-1.153076880332634</v>
      </c>
      <c r="T52" s="7"/>
    </row>
  </sheetData>
  <sheetProtection password="DAB5"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7.28125" style="0" customWidth="1"/>
    <col min="3" max="3" width="11.8515625" style="0" customWidth="1"/>
    <col min="6" max="6" width="2.28125" style="0" customWidth="1"/>
    <col min="7" max="7" width="7.8515625" style="0" customWidth="1"/>
    <col min="8" max="8" width="4.00390625" style="0" customWidth="1"/>
    <col min="10" max="13" width="6.7109375" style="0" customWidth="1"/>
  </cols>
  <sheetData>
    <row r="1" spans="1:13" ht="23.25">
      <c r="A1" s="23" t="s">
        <v>63</v>
      </c>
      <c r="B1" s="2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32" t="s">
        <v>149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" ht="12.75">
      <c r="A3" s="31" t="s">
        <v>64</v>
      </c>
      <c r="B3" s="2"/>
    </row>
    <row r="4" spans="1:14" ht="15" customHeight="1" thickBot="1">
      <c r="A4" s="2"/>
      <c r="B4" s="2" t="s">
        <v>65</v>
      </c>
      <c r="J4" s="42" t="s">
        <v>66</v>
      </c>
      <c r="K4" s="42"/>
      <c r="L4" s="43"/>
      <c r="M4" s="43"/>
      <c r="N4" s="13"/>
    </row>
    <row r="5" spans="9:13" ht="12.75">
      <c r="I5" s="30" t="s">
        <v>67</v>
      </c>
      <c r="J5" s="14" t="s">
        <v>68</v>
      </c>
      <c r="K5" s="15"/>
      <c r="L5" s="15"/>
      <c r="M5" s="16"/>
    </row>
    <row r="6" spans="1:13" ht="13.5" thickBot="1">
      <c r="A6" s="31" t="s">
        <v>69</v>
      </c>
      <c r="B6" s="2"/>
      <c r="I6" s="30" t="s">
        <v>70</v>
      </c>
      <c r="J6" s="17">
        <f>Calculations!T8</f>
        <v>275</v>
      </c>
      <c r="K6" s="18">
        <f>Calculations!U8</f>
        <v>300</v>
      </c>
      <c r="L6" s="18">
        <f>Calculations!V8</f>
        <v>325</v>
      </c>
      <c r="M6" s="19">
        <f>Calculations!W8</f>
        <v>350</v>
      </c>
    </row>
    <row r="7" spans="2:15" ht="12.75">
      <c r="B7" s="2" t="s">
        <v>71</v>
      </c>
      <c r="I7" s="46">
        <f>Calculations!S9</f>
        <v>5.5</v>
      </c>
      <c r="J7" s="44">
        <f>Calculations!T9</f>
        <v>0.8257224046742737</v>
      </c>
      <c r="K7" s="44">
        <f>Calculations!U9</f>
        <v>0.9756062852307424</v>
      </c>
      <c r="L7" s="44">
        <f>Calculations!V9</f>
        <v>1.1024311072400657</v>
      </c>
      <c r="M7" s="44">
        <f>Calculations!W9</f>
        <v>1.211138097533773</v>
      </c>
      <c r="O7" s="7"/>
    </row>
    <row r="8" spans="2:15" ht="12.75">
      <c r="B8" t="s">
        <v>72</v>
      </c>
      <c r="I8" s="46">
        <f>Calculations!S11</f>
        <v>6</v>
      </c>
      <c r="J8" s="44">
        <f>Calculations!T11</f>
        <v>0.6622127167944867</v>
      </c>
      <c r="K8" s="44">
        <f>Calculations!U11</f>
        <v>0.8257224046742743</v>
      </c>
      <c r="L8" s="44">
        <f>Calculations!V11</f>
        <v>0.9640767559571712</v>
      </c>
      <c r="M8" s="44">
        <f>Calculations!W11</f>
        <v>1.0826661999139386</v>
      </c>
      <c r="O8" s="7"/>
    </row>
    <row r="9" spans="9:15" ht="12.75">
      <c r="I9" s="46">
        <f>Calculations!S13</f>
        <v>6.5</v>
      </c>
      <c r="J9" s="44">
        <f>Calculations!T13</f>
        <v>0.49870302891469415</v>
      </c>
      <c r="K9" s="44">
        <f>Calculations!U13</f>
        <v>0.6758385241177992</v>
      </c>
      <c r="L9" s="44">
        <f>Calculations!V13</f>
        <v>0.825722404674273</v>
      </c>
      <c r="M9" s="44">
        <f>Calculations!W13</f>
        <v>0.9541943022941051</v>
      </c>
      <c r="O9" s="13"/>
    </row>
    <row r="10" spans="9:15" ht="12.75">
      <c r="I10" s="46">
        <f>Calculations!S15</f>
        <v>7</v>
      </c>
      <c r="J10" s="44">
        <f>Calculations!T15</f>
        <v>0.3351933410349113</v>
      </c>
      <c r="K10" s="44">
        <f>Calculations!U15</f>
        <v>0.5259546435613297</v>
      </c>
      <c r="L10" s="44">
        <f>Calculations!V15</f>
        <v>0.6873680533913769</v>
      </c>
      <c r="M10" s="44">
        <f>Calculations!W15</f>
        <v>0.8257224046742732</v>
      </c>
      <c r="O10" s="13"/>
    </row>
    <row r="11" spans="1:2" ht="12.75">
      <c r="A11" s="31" t="s">
        <v>73</v>
      </c>
      <c r="B11" s="2"/>
    </row>
    <row r="12" spans="2:13" ht="13.5" thickBot="1">
      <c r="B12" s="2" t="s">
        <v>71</v>
      </c>
      <c r="J12" s="42" t="s">
        <v>74</v>
      </c>
      <c r="K12" s="42"/>
      <c r="L12" s="43"/>
      <c r="M12" s="43"/>
    </row>
    <row r="13" spans="2:13" ht="12.75">
      <c r="B13" s="2" t="s">
        <v>75</v>
      </c>
      <c r="I13" s="30" t="s">
        <v>67</v>
      </c>
      <c r="J13" s="14" t="s">
        <v>68</v>
      </c>
      <c r="K13" s="15"/>
      <c r="L13" s="20"/>
      <c r="M13" s="21"/>
    </row>
    <row r="14" spans="9:13" ht="13.5" thickBot="1">
      <c r="I14" s="30" t="s">
        <v>70</v>
      </c>
      <c r="J14" s="17">
        <f>J6</f>
        <v>275</v>
      </c>
      <c r="K14" s="18">
        <f>K6</f>
        <v>300</v>
      </c>
      <c r="L14" s="18">
        <f>L6</f>
        <v>325</v>
      </c>
      <c r="M14" s="19">
        <f>M6</f>
        <v>350</v>
      </c>
    </row>
    <row r="15" spans="1:13" ht="12.75">
      <c r="A15" s="31" t="s">
        <v>76</v>
      </c>
      <c r="I15" s="46">
        <f>I7</f>
        <v>5.5</v>
      </c>
      <c r="J15" s="49">
        <f>Calculations!T10</f>
        <v>35.65473017472774</v>
      </c>
      <c r="K15" s="49">
        <f>Calculations!U10</f>
        <v>34.308179803952825</v>
      </c>
      <c r="L15" s="49">
        <f>Calculations!V10</f>
        <v>32.961629433178224</v>
      </c>
      <c r="M15" s="49">
        <f>Calculations!W10</f>
        <v>31.61507906240372</v>
      </c>
    </row>
    <row r="16" spans="2:13" ht="12.75">
      <c r="B16" t="s">
        <v>77</v>
      </c>
      <c r="I16" s="46">
        <f>I8</f>
        <v>6</v>
      </c>
      <c r="J16" s="49">
        <f>Calculations!T12</f>
        <v>36.889068014604646</v>
      </c>
      <c r="K16" s="49">
        <f>Calculations!U12</f>
        <v>35.654730174727746</v>
      </c>
      <c r="L16" s="49">
        <f>Calculations!V12</f>
        <v>34.420392334850966</v>
      </c>
      <c r="M16" s="49">
        <f>Calculations!W12</f>
        <v>33.18605449497418</v>
      </c>
    </row>
    <row r="17" spans="2:13" ht="12.75">
      <c r="B17" t="s">
        <v>78</v>
      </c>
      <c r="I17" s="46">
        <f>I9</f>
        <v>6.5</v>
      </c>
      <c r="J17" s="49">
        <f>Calculations!T14</f>
        <v>37.9335077252694</v>
      </c>
      <c r="K17" s="49">
        <f>Calculations!U14</f>
        <v>36.79411894999848</v>
      </c>
      <c r="L17" s="49">
        <f>Calculations!V14</f>
        <v>35.65473017472775</v>
      </c>
      <c r="M17" s="49">
        <f>Calculations!W14</f>
        <v>34.5153413994567</v>
      </c>
    </row>
    <row r="18" spans="9:13" ht="12.75">
      <c r="I18" s="46">
        <f>I10</f>
        <v>7</v>
      </c>
      <c r="J18" s="49">
        <f>Calculations!T16</f>
        <v>38.82874176298234</v>
      </c>
      <c r="K18" s="49">
        <f>Calculations!U16</f>
        <v>37.77073790023071</v>
      </c>
      <c r="L18" s="49">
        <f>Calculations!V16</f>
        <v>36.71273403747921</v>
      </c>
      <c r="M18" s="49">
        <f>Calculations!W16</f>
        <v>35.65473017472768</v>
      </c>
    </row>
    <row r="19" spans="1:13" ht="12.75">
      <c r="A19" s="31" t="s">
        <v>79</v>
      </c>
      <c r="I19" s="10"/>
      <c r="J19" s="22"/>
      <c r="K19" s="22"/>
      <c r="L19" s="22"/>
      <c r="M19" s="22"/>
    </row>
    <row r="20" spans="2:13" ht="12.75">
      <c r="B20" s="2" t="s">
        <v>80</v>
      </c>
      <c r="I20" s="10"/>
      <c r="J20" s="22"/>
      <c r="K20" s="22"/>
      <c r="L20" s="22"/>
      <c r="M20" s="22"/>
    </row>
    <row r="21" ht="12.75">
      <c r="B21" t="s">
        <v>81</v>
      </c>
    </row>
    <row r="23" spans="1:2" ht="15.75" customHeight="1">
      <c r="A23" s="136" t="s">
        <v>127</v>
      </c>
      <c r="B23" s="2"/>
    </row>
    <row r="24" spans="1:2" ht="12.75">
      <c r="A24" s="2"/>
      <c r="B24" s="2" t="s">
        <v>82</v>
      </c>
    </row>
    <row r="25" spans="1:9" ht="13.5" thickBot="1">
      <c r="A25" s="2"/>
      <c r="B25" s="2"/>
      <c r="D25" s="12" t="s">
        <v>83</v>
      </c>
      <c r="E25" s="12"/>
      <c r="G25" s="12" t="s">
        <v>84</v>
      </c>
      <c r="H25" s="12"/>
      <c r="I25" s="12"/>
    </row>
    <row r="26" spans="1:9" ht="13.5" thickBot="1">
      <c r="A26" s="81" t="s">
        <v>85</v>
      </c>
      <c r="B26" s="70"/>
      <c r="C26" s="71" t="s">
        <v>86</v>
      </c>
      <c r="D26" s="72">
        <v>0.83</v>
      </c>
      <c r="E26" s="73"/>
      <c r="F26" s="13"/>
      <c r="G26" s="120">
        <v>0.83</v>
      </c>
      <c r="H26" s="111"/>
      <c r="I26" s="112"/>
    </row>
    <row r="27" spans="1:9" ht="13.5" customHeight="1" thickBot="1">
      <c r="A27" s="74"/>
      <c r="B27" s="34"/>
      <c r="C27" s="34" t="s">
        <v>87</v>
      </c>
      <c r="D27" s="35">
        <v>275</v>
      </c>
      <c r="E27" s="75"/>
      <c r="F27" s="34"/>
      <c r="G27" s="121">
        <v>275</v>
      </c>
      <c r="H27" s="113"/>
      <c r="I27" s="112"/>
    </row>
    <row r="28" spans="1:9" ht="13.5" thickBot="1">
      <c r="A28" s="76"/>
      <c r="B28" s="77"/>
      <c r="C28" s="78" t="s">
        <v>88</v>
      </c>
      <c r="D28" s="79">
        <v>0.075</v>
      </c>
      <c r="E28" s="80">
        <f>D26*D27*D28</f>
        <v>17.11875</v>
      </c>
      <c r="F28" s="25"/>
      <c r="G28" s="122">
        <v>0.075</v>
      </c>
      <c r="H28" s="113"/>
      <c r="I28" s="117">
        <f>G26*G27*G28</f>
        <v>17.11875</v>
      </c>
    </row>
    <row r="29" spans="1:9" ht="3" customHeight="1" thickBot="1">
      <c r="A29" s="74"/>
      <c r="B29" s="34"/>
      <c r="C29" s="36"/>
      <c r="D29" s="38"/>
      <c r="E29" s="90"/>
      <c r="F29" s="25"/>
      <c r="G29" s="123"/>
      <c r="H29" s="113"/>
      <c r="I29" s="118"/>
    </row>
    <row r="30" spans="1:9" ht="13.5" thickBot="1">
      <c r="A30" s="81" t="s">
        <v>89</v>
      </c>
      <c r="B30" s="82"/>
      <c r="C30" s="83" t="s">
        <v>90</v>
      </c>
      <c r="D30" s="84">
        <v>35.7</v>
      </c>
      <c r="E30" s="85"/>
      <c r="F30" s="37"/>
      <c r="G30" s="120">
        <v>35.7</v>
      </c>
      <c r="H30" s="112"/>
      <c r="I30" s="118"/>
    </row>
    <row r="31" spans="1:9" ht="14.25" customHeight="1" thickBot="1">
      <c r="A31" s="74"/>
      <c r="B31" s="13"/>
      <c r="C31" s="36" t="s">
        <v>91</v>
      </c>
      <c r="D31" s="33">
        <v>5.5</v>
      </c>
      <c r="E31" s="86"/>
      <c r="F31" s="26"/>
      <c r="G31" s="123">
        <v>5.5</v>
      </c>
      <c r="H31" s="113"/>
      <c r="I31" s="118"/>
    </row>
    <row r="32" spans="1:13" ht="13.5" thickBot="1">
      <c r="A32" s="76"/>
      <c r="B32" s="24"/>
      <c r="C32" s="87" t="s">
        <v>92</v>
      </c>
      <c r="D32" s="88">
        <v>0.64</v>
      </c>
      <c r="E32" s="89">
        <f>D30*D31*D32</f>
        <v>125.66400000000002</v>
      </c>
      <c r="F32" s="26"/>
      <c r="G32" s="124">
        <v>0.64</v>
      </c>
      <c r="H32" s="114" t="s">
        <v>93</v>
      </c>
      <c r="I32" s="117">
        <f>G30*G31*G32</f>
        <v>125.66400000000002</v>
      </c>
      <c r="M32" s="50" t="s">
        <v>94</v>
      </c>
    </row>
    <row r="33" spans="3:14" ht="2.25" customHeight="1" thickBot="1">
      <c r="C33" s="40"/>
      <c r="D33" s="39"/>
      <c r="E33" s="45"/>
      <c r="F33" s="26"/>
      <c r="G33" s="113"/>
      <c r="H33" s="113"/>
      <c r="I33" s="118"/>
      <c r="N33" s="13"/>
    </row>
    <row r="34" spans="1:13" ht="13.5" customHeight="1" thickBot="1">
      <c r="A34" s="81" t="s">
        <v>95</v>
      </c>
      <c r="B34" s="82"/>
      <c r="C34" s="82"/>
      <c r="D34" s="71" t="s">
        <v>96</v>
      </c>
      <c r="E34" s="91">
        <f>+E28+E32</f>
        <v>142.78275000000002</v>
      </c>
      <c r="F34" s="27"/>
      <c r="G34" s="115"/>
      <c r="H34" s="116" t="s">
        <v>97</v>
      </c>
      <c r="I34" s="119">
        <f>I28+I32</f>
        <v>142.78275000000002</v>
      </c>
      <c r="M34" s="50" t="s">
        <v>98</v>
      </c>
    </row>
    <row r="35" spans="1:9" ht="13.5" customHeight="1" thickBot="1">
      <c r="A35" s="74"/>
      <c r="B35" s="13"/>
      <c r="C35" s="13"/>
      <c r="D35" s="92" t="s">
        <v>99</v>
      </c>
      <c r="E35" s="125">
        <v>0.3</v>
      </c>
      <c r="F35" s="27"/>
      <c r="G35" s="115"/>
      <c r="H35" s="116" t="s">
        <v>100</v>
      </c>
      <c r="I35" s="120">
        <v>0.3</v>
      </c>
    </row>
    <row r="36" spans="1:11" ht="13.5" customHeight="1" thickBot="1">
      <c r="A36" s="76"/>
      <c r="B36" s="24"/>
      <c r="C36" s="24"/>
      <c r="D36" s="94" t="s">
        <v>101</v>
      </c>
      <c r="E36" s="126">
        <f>+E34*E35</f>
        <v>42.834825</v>
      </c>
      <c r="F36" s="27"/>
      <c r="G36" s="115"/>
      <c r="H36" s="116"/>
      <c r="I36" s="119">
        <f>I34*I35</f>
        <v>42.834825</v>
      </c>
      <c r="J36" s="2" t="s">
        <v>102</v>
      </c>
      <c r="K36" s="2"/>
    </row>
    <row r="37" spans="1:11" ht="3" customHeight="1" thickBot="1">
      <c r="A37" s="13"/>
      <c r="B37" s="13"/>
      <c r="C37" s="13"/>
      <c r="D37" s="26"/>
      <c r="E37" s="127"/>
      <c r="F37" s="27"/>
      <c r="G37" s="115"/>
      <c r="H37" s="116"/>
      <c r="I37" s="112">
        <v>0</v>
      </c>
      <c r="J37" s="2"/>
      <c r="K37" s="2"/>
    </row>
    <row r="38" spans="1:12" ht="13.5" thickBot="1">
      <c r="A38" s="69"/>
      <c r="B38" s="82"/>
      <c r="C38" s="82"/>
      <c r="D38" s="83" t="s">
        <v>103</v>
      </c>
      <c r="E38" s="128">
        <v>0.925</v>
      </c>
      <c r="F38" s="28"/>
      <c r="G38" s="115"/>
      <c r="H38" s="116" t="s">
        <v>100</v>
      </c>
      <c r="I38" s="131">
        <v>0.925</v>
      </c>
      <c r="J38" t="s">
        <v>104</v>
      </c>
      <c r="L38" s="13"/>
    </row>
    <row r="39" spans="1:9" ht="14.25" customHeight="1" thickBot="1">
      <c r="A39" s="95" t="s">
        <v>105</v>
      </c>
      <c r="B39" s="13"/>
      <c r="C39" s="13"/>
      <c r="D39" s="92" t="s">
        <v>106</v>
      </c>
      <c r="E39" s="129">
        <f>+E36*E38</f>
        <v>39.622213125</v>
      </c>
      <c r="F39" s="27"/>
      <c r="G39" s="115"/>
      <c r="H39" s="116" t="s">
        <v>97</v>
      </c>
      <c r="I39" s="119">
        <f>I36*I38</f>
        <v>39.622213125</v>
      </c>
    </row>
    <row r="40" spans="1:9" ht="13.5" customHeight="1" thickBot="1">
      <c r="A40" s="74"/>
      <c r="B40" s="13"/>
      <c r="C40" s="13"/>
      <c r="D40" s="26" t="s">
        <v>107</v>
      </c>
      <c r="E40" s="130">
        <v>4</v>
      </c>
      <c r="F40" s="27"/>
      <c r="G40" s="115"/>
      <c r="H40" s="116" t="s">
        <v>108</v>
      </c>
      <c r="I40" s="132">
        <v>4</v>
      </c>
    </row>
    <row r="41" spans="1:12" ht="20.25" customHeight="1" thickBot="1">
      <c r="A41" s="74"/>
      <c r="B41" s="13"/>
      <c r="C41" s="13"/>
      <c r="D41" s="26" t="s">
        <v>109</v>
      </c>
      <c r="E41" s="146">
        <f>+E39-E40</f>
        <v>35.622213125</v>
      </c>
      <c r="F41" s="27"/>
      <c r="G41" s="115"/>
      <c r="H41" s="116" t="s">
        <v>97</v>
      </c>
      <c r="I41" s="119">
        <f>I39-I40</f>
        <v>35.622213125</v>
      </c>
      <c r="L41" s="13"/>
    </row>
    <row r="42" spans="6:17" s="13" customFormat="1" ht="12.75">
      <c r="F42" s="26"/>
      <c r="G42" s="33"/>
      <c r="H42" s="33"/>
      <c r="Q42" s="137"/>
    </row>
    <row r="43" spans="1:17" s="37" customFormat="1" ht="11.25">
      <c r="A43" s="137" t="s">
        <v>147</v>
      </c>
      <c r="B43" s="137"/>
      <c r="Q43" s="138"/>
    </row>
    <row r="44" spans="1:17" s="37" customFormat="1" ht="11.25">
      <c r="A44" s="137" t="s">
        <v>128</v>
      </c>
      <c r="B44" s="137"/>
      <c r="Q44" s="137"/>
    </row>
    <row r="45" spans="6:9" s="37" customFormat="1" ht="11.25">
      <c r="F45" s="139" t="s">
        <v>129</v>
      </c>
      <c r="G45" s="140"/>
      <c r="H45" s="140"/>
      <c r="I45" s="140"/>
    </row>
    <row r="46" spans="3:9" s="37" customFormat="1" ht="12" thickBot="1">
      <c r="C46" s="137" t="s">
        <v>130</v>
      </c>
      <c r="D46" s="137" t="s">
        <v>131</v>
      </c>
      <c r="E46" s="141" t="s">
        <v>132</v>
      </c>
      <c r="F46" s="137" t="s">
        <v>133</v>
      </c>
      <c r="H46" s="37" t="s">
        <v>148</v>
      </c>
      <c r="I46" s="141" t="s">
        <v>134</v>
      </c>
    </row>
    <row r="47" spans="1:16" s="37" customFormat="1" ht="12.75">
      <c r="A47" s="14" t="s">
        <v>135</v>
      </c>
      <c r="B47" s="15"/>
      <c r="C47" s="15"/>
      <c r="D47" s="148">
        <v>0.12</v>
      </c>
      <c r="E47" s="149">
        <v>0.65</v>
      </c>
      <c r="F47" s="150"/>
      <c r="G47" s="151">
        <v>46.836298554295055</v>
      </c>
      <c r="H47" s="152">
        <v>5</v>
      </c>
      <c r="I47" s="153">
        <v>174.1814927714753</v>
      </c>
      <c r="N47" s="13"/>
      <c r="O47" s="144"/>
      <c r="P47" s="145"/>
    </row>
    <row r="48" spans="1:16" s="37" customFormat="1" ht="12.75">
      <c r="A48" s="154" t="s">
        <v>136</v>
      </c>
      <c r="B48" s="140"/>
      <c r="C48" s="140"/>
      <c r="D48" s="142">
        <v>0.1</v>
      </c>
      <c r="E48" s="143">
        <v>0.65</v>
      </c>
      <c r="G48" s="144">
        <v>45.46147075051239</v>
      </c>
      <c r="H48" s="147">
        <v>7</v>
      </c>
      <c r="I48" s="155">
        <v>258.23029525358675</v>
      </c>
      <c r="N48" s="13"/>
      <c r="O48" s="144"/>
      <c r="P48" s="145"/>
    </row>
    <row r="49" spans="1:16" s="37" customFormat="1" ht="12.75">
      <c r="A49" s="165" t="s">
        <v>137</v>
      </c>
      <c r="B49" s="166"/>
      <c r="C49" s="166"/>
      <c r="D49" s="167">
        <v>0.084</v>
      </c>
      <c r="E49" s="168">
        <v>0.65</v>
      </c>
      <c r="F49" s="169"/>
      <c r="G49" s="170">
        <v>44.36160850748626</v>
      </c>
      <c r="H49" s="171">
        <v>9</v>
      </c>
      <c r="I49" s="172">
        <v>339.25447656737634</v>
      </c>
      <c r="N49" s="13"/>
      <c r="O49" s="144"/>
      <c r="P49" s="145"/>
    </row>
    <row r="50" spans="1:16" s="37" customFormat="1" ht="12.75">
      <c r="A50" s="156" t="s">
        <v>138</v>
      </c>
      <c r="B50" s="139"/>
      <c r="C50" s="140"/>
      <c r="D50" s="142">
        <v>0.095</v>
      </c>
      <c r="E50" s="143">
        <v>0.65</v>
      </c>
      <c r="G50" s="144">
        <v>45.11776379956673</v>
      </c>
      <c r="H50" s="147">
        <v>11</v>
      </c>
      <c r="I50" s="155">
        <v>436.29540179523406</v>
      </c>
      <c r="N50" s="13"/>
      <c r="O50" s="144"/>
      <c r="P50" s="145"/>
    </row>
    <row r="51" spans="1:16" s="37" customFormat="1" ht="12.75">
      <c r="A51" s="156" t="s">
        <v>139</v>
      </c>
      <c r="B51" s="139"/>
      <c r="C51" s="140"/>
      <c r="D51" s="142">
        <v>0.094</v>
      </c>
      <c r="E51" s="143">
        <v>0.65</v>
      </c>
      <c r="G51" s="144">
        <v>45.049022409377585</v>
      </c>
      <c r="H51" s="147">
        <v>13</v>
      </c>
      <c r="I51" s="155">
        <v>525.6372913219086</v>
      </c>
      <c r="N51" s="13"/>
      <c r="O51" s="144"/>
      <c r="P51" s="145"/>
    </row>
    <row r="52" spans="1:16" s="37" customFormat="1" ht="12.75">
      <c r="A52" s="165" t="s">
        <v>140</v>
      </c>
      <c r="B52" s="166"/>
      <c r="C52" s="166"/>
      <c r="D52" s="167">
        <v>0.075</v>
      </c>
      <c r="E52" s="168">
        <v>0.65</v>
      </c>
      <c r="F52" s="169"/>
      <c r="G52" s="170">
        <v>43.74293599578405</v>
      </c>
      <c r="H52" s="171">
        <v>15</v>
      </c>
      <c r="I52" s="172">
        <v>596.1440399367608</v>
      </c>
      <c r="N52" s="13"/>
      <c r="O52" s="144"/>
      <c r="P52" s="145"/>
    </row>
    <row r="53" spans="1:16" s="37" customFormat="1" ht="12.75">
      <c r="A53" s="154" t="s">
        <v>141</v>
      </c>
      <c r="B53" s="140"/>
      <c r="C53" s="140"/>
      <c r="D53" s="142">
        <v>0.073</v>
      </c>
      <c r="E53" s="143">
        <v>0.68</v>
      </c>
      <c r="G53" s="144">
        <v>45.386406987633436</v>
      </c>
      <c r="H53" s="147">
        <v>16</v>
      </c>
      <c r="I53" s="155">
        <v>666.182511802135</v>
      </c>
      <c r="N53" s="13"/>
      <c r="O53" s="144"/>
      <c r="P53" s="145"/>
    </row>
    <row r="54" spans="1:16" s="37" customFormat="1" ht="12.75">
      <c r="A54" s="154" t="s">
        <v>142</v>
      </c>
      <c r="B54" s="140"/>
      <c r="C54" s="140"/>
      <c r="D54" s="142">
        <v>0.071</v>
      </c>
      <c r="E54" s="143">
        <v>0.7</v>
      </c>
      <c r="G54" s="144">
        <v>46.4362267220736</v>
      </c>
      <c r="H54" s="147">
        <v>17</v>
      </c>
      <c r="I54" s="155">
        <v>729.4158542752511</v>
      </c>
      <c r="N54" s="13"/>
      <c r="O54" s="144"/>
      <c r="P54" s="145"/>
    </row>
    <row r="55" spans="1:16" s="37" customFormat="1" ht="13.5" thickBot="1">
      <c r="A55" s="157" t="s">
        <v>143</v>
      </c>
      <c r="B55" s="158"/>
      <c r="C55" s="158"/>
      <c r="D55" s="159">
        <v>0.07</v>
      </c>
      <c r="E55" s="160">
        <v>0.66</v>
      </c>
      <c r="F55" s="161"/>
      <c r="G55" s="162">
        <v>43.99288030224761</v>
      </c>
      <c r="H55" s="163">
        <v>18</v>
      </c>
      <c r="I55" s="164">
        <v>731.871845440457</v>
      </c>
      <c r="N55" s="13"/>
      <c r="O55" s="144"/>
      <c r="P55" s="145"/>
    </row>
    <row r="56" s="37" customFormat="1" ht="11.25">
      <c r="A56" s="137" t="s">
        <v>144</v>
      </c>
    </row>
    <row r="57" s="37" customFormat="1" ht="11.25">
      <c r="A57" s="137" t="s">
        <v>145</v>
      </c>
    </row>
    <row r="58" s="37" customFormat="1" ht="11.25">
      <c r="A58" s="137" t="s">
        <v>146</v>
      </c>
    </row>
    <row r="59" s="13" customFormat="1" ht="12.75"/>
  </sheetData>
  <sheetProtection password="DAB5" sheet="1"/>
  <printOptions/>
  <pageMargins left="0.75" right="0.75" top="0.5" bottom="0.5" header="0" footer="0"/>
  <pageSetup fitToHeight="1" fitToWidth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9.7109375" style="0" customWidth="1"/>
    <col min="3" max="3" width="9.421875" style="0" customWidth="1"/>
    <col min="4" max="4" width="11.140625" style="0" bestFit="1" customWidth="1"/>
    <col min="5" max="5" width="8.8515625" style="0" bestFit="1" customWidth="1"/>
    <col min="6" max="6" width="12.00390625" style="51" customWidth="1"/>
    <col min="8" max="8" width="10.57421875" style="0" customWidth="1"/>
  </cols>
  <sheetData>
    <row r="1" ht="12.75">
      <c r="A1" t="s">
        <v>110</v>
      </c>
    </row>
    <row r="2" ht="12.75">
      <c r="A2" t="s">
        <v>111</v>
      </c>
    </row>
    <row r="3" ht="12.75">
      <c r="A3" t="s">
        <v>112</v>
      </c>
    </row>
    <row r="4" ht="12.75">
      <c r="A4" t="s">
        <v>120</v>
      </c>
    </row>
    <row r="5" spans="2:11" s="51" customFormat="1" ht="13.5" thickBot="1">
      <c r="B5" s="52" t="s">
        <v>113</v>
      </c>
      <c r="C5" s="52" t="s">
        <v>114</v>
      </c>
      <c r="D5" s="53" t="s">
        <v>115</v>
      </c>
      <c r="E5" s="51" t="s">
        <v>116</v>
      </c>
      <c r="F5" s="51" t="s">
        <v>117</v>
      </c>
      <c r="K5" s="51" t="s">
        <v>118</v>
      </c>
    </row>
    <row r="6" spans="2:11" ht="12.75">
      <c r="B6" s="56">
        <v>20</v>
      </c>
      <c r="C6" s="57">
        <v>30</v>
      </c>
      <c r="D6" s="58">
        <f aca="true" t="shared" si="0" ref="D6:D37">31.4+(53.1*K6)</f>
        <v>73.6676</v>
      </c>
      <c r="E6" s="63">
        <f aca="true" t="shared" si="1" ref="E6:E54">92.49+(-0.6525*C6)</f>
        <v>72.91499999999999</v>
      </c>
      <c r="F6" s="66">
        <f>MIN(D6:E6)</f>
        <v>72.91499999999999</v>
      </c>
      <c r="K6" s="1">
        <f aca="true" t="shared" si="2" ref="K6:K37">1.044-(0.0124*B6)</f>
        <v>0.796</v>
      </c>
    </row>
    <row r="7" spans="2:11" ht="12.75">
      <c r="B7" s="59">
        <v>20</v>
      </c>
      <c r="C7" s="54">
        <v>33</v>
      </c>
      <c r="D7" s="55">
        <f t="shared" si="0"/>
        <v>73.6676</v>
      </c>
      <c r="E7" s="64">
        <f t="shared" si="1"/>
        <v>70.9575</v>
      </c>
      <c r="F7" s="67">
        <f aca="true" t="shared" si="3" ref="F7:F54">MIN(D7:E7)</f>
        <v>70.9575</v>
      </c>
      <c r="H7" t="s">
        <v>119</v>
      </c>
      <c r="K7" s="1">
        <f t="shared" si="2"/>
        <v>0.796</v>
      </c>
    </row>
    <row r="8" spans="2:11" ht="12.75">
      <c r="B8" s="59">
        <v>20</v>
      </c>
      <c r="C8" s="54">
        <v>35</v>
      </c>
      <c r="D8" s="55">
        <f t="shared" si="0"/>
        <v>73.6676</v>
      </c>
      <c r="E8" s="64">
        <f t="shared" si="1"/>
        <v>69.6525</v>
      </c>
      <c r="F8" s="67">
        <f t="shared" si="3"/>
        <v>69.6525</v>
      </c>
      <c r="K8" s="1">
        <f t="shared" si="2"/>
        <v>0.796</v>
      </c>
    </row>
    <row r="9" spans="2:11" ht="12.75">
      <c r="B9" s="59">
        <v>20</v>
      </c>
      <c r="C9" s="54">
        <v>38</v>
      </c>
      <c r="D9" s="55">
        <f t="shared" si="0"/>
        <v>73.6676</v>
      </c>
      <c r="E9" s="64">
        <f t="shared" si="1"/>
        <v>67.695</v>
      </c>
      <c r="F9" s="67">
        <f t="shared" si="3"/>
        <v>67.695</v>
      </c>
      <c r="K9" s="1">
        <f t="shared" si="2"/>
        <v>0.796</v>
      </c>
    </row>
    <row r="10" spans="2:11" ht="12.75">
      <c r="B10" s="59">
        <v>20</v>
      </c>
      <c r="C10" s="54">
        <v>40</v>
      </c>
      <c r="D10" s="55">
        <f t="shared" si="0"/>
        <v>73.6676</v>
      </c>
      <c r="E10" s="64">
        <f t="shared" si="1"/>
        <v>66.39</v>
      </c>
      <c r="F10" s="67">
        <f t="shared" si="3"/>
        <v>66.39</v>
      </c>
      <c r="K10" s="1">
        <f t="shared" si="2"/>
        <v>0.796</v>
      </c>
    </row>
    <row r="11" spans="2:11" ht="12.75">
      <c r="B11" s="59">
        <v>20</v>
      </c>
      <c r="C11" s="54">
        <v>45</v>
      </c>
      <c r="D11" s="55">
        <f t="shared" si="0"/>
        <v>73.6676</v>
      </c>
      <c r="E11" s="64">
        <f t="shared" si="1"/>
        <v>63.1275</v>
      </c>
      <c r="F11" s="67">
        <f t="shared" si="3"/>
        <v>63.1275</v>
      </c>
      <c r="K11" s="1">
        <f t="shared" si="2"/>
        <v>0.796</v>
      </c>
    </row>
    <row r="12" spans="2:11" ht="12.75">
      <c r="B12" s="59">
        <v>20</v>
      </c>
      <c r="C12" s="54">
        <v>50</v>
      </c>
      <c r="D12" s="55">
        <f t="shared" si="0"/>
        <v>73.6676</v>
      </c>
      <c r="E12" s="64">
        <f t="shared" si="1"/>
        <v>59.864999999999995</v>
      </c>
      <c r="F12" s="67">
        <f t="shared" si="3"/>
        <v>59.864999999999995</v>
      </c>
      <c r="K12" s="1">
        <f t="shared" si="2"/>
        <v>0.796</v>
      </c>
    </row>
    <row r="13" spans="2:11" ht="12.75">
      <c r="B13" s="59">
        <v>22</v>
      </c>
      <c r="C13" s="54">
        <v>30</v>
      </c>
      <c r="D13" s="55">
        <f t="shared" si="0"/>
        <v>72.35072</v>
      </c>
      <c r="E13" s="64">
        <f t="shared" si="1"/>
        <v>72.91499999999999</v>
      </c>
      <c r="F13" s="67">
        <f t="shared" si="3"/>
        <v>72.35072</v>
      </c>
      <c r="K13" s="1">
        <f t="shared" si="2"/>
        <v>0.7712000000000001</v>
      </c>
    </row>
    <row r="14" spans="2:11" ht="12.75">
      <c r="B14" s="59">
        <v>22</v>
      </c>
      <c r="C14" s="54">
        <v>33</v>
      </c>
      <c r="D14" s="55">
        <f t="shared" si="0"/>
        <v>72.35072</v>
      </c>
      <c r="E14" s="64">
        <f t="shared" si="1"/>
        <v>70.9575</v>
      </c>
      <c r="F14" s="67">
        <f t="shared" si="3"/>
        <v>70.9575</v>
      </c>
      <c r="K14" s="1">
        <f t="shared" si="2"/>
        <v>0.7712000000000001</v>
      </c>
    </row>
    <row r="15" spans="2:11" ht="12.75">
      <c r="B15" s="59">
        <v>22</v>
      </c>
      <c r="C15" s="54">
        <v>35</v>
      </c>
      <c r="D15" s="55">
        <f t="shared" si="0"/>
        <v>72.35072</v>
      </c>
      <c r="E15" s="64">
        <f t="shared" si="1"/>
        <v>69.6525</v>
      </c>
      <c r="F15" s="67">
        <f t="shared" si="3"/>
        <v>69.6525</v>
      </c>
      <c r="K15" s="1">
        <f t="shared" si="2"/>
        <v>0.7712000000000001</v>
      </c>
    </row>
    <row r="16" spans="2:11" ht="12.75">
      <c r="B16" s="59">
        <v>22</v>
      </c>
      <c r="C16" s="54">
        <v>38</v>
      </c>
      <c r="D16" s="55">
        <f t="shared" si="0"/>
        <v>72.35072</v>
      </c>
      <c r="E16" s="64">
        <f t="shared" si="1"/>
        <v>67.695</v>
      </c>
      <c r="F16" s="67">
        <f t="shared" si="3"/>
        <v>67.695</v>
      </c>
      <c r="K16" s="1">
        <f t="shared" si="2"/>
        <v>0.7712000000000001</v>
      </c>
    </row>
    <row r="17" spans="2:11" ht="12.75">
      <c r="B17" s="59">
        <v>22</v>
      </c>
      <c r="C17" s="54">
        <v>40</v>
      </c>
      <c r="D17" s="55">
        <f t="shared" si="0"/>
        <v>72.35072</v>
      </c>
      <c r="E17" s="64">
        <f t="shared" si="1"/>
        <v>66.39</v>
      </c>
      <c r="F17" s="67">
        <f t="shared" si="3"/>
        <v>66.39</v>
      </c>
      <c r="K17" s="1">
        <f t="shared" si="2"/>
        <v>0.7712000000000001</v>
      </c>
    </row>
    <row r="18" spans="2:11" ht="12.75">
      <c r="B18" s="59">
        <v>22</v>
      </c>
      <c r="C18" s="54">
        <v>45</v>
      </c>
      <c r="D18" s="55">
        <f t="shared" si="0"/>
        <v>72.35072</v>
      </c>
      <c r="E18" s="64">
        <f t="shared" si="1"/>
        <v>63.1275</v>
      </c>
      <c r="F18" s="67">
        <f t="shared" si="3"/>
        <v>63.1275</v>
      </c>
      <c r="K18" s="1">
        <f t="shared" si="2"/>
        <v>0.7712000000000001</v>
      </c>
    </row>
    <row r="19" spans="2:11" ht="12.75">
      <c r="B19" s="59">
        <v>22</v>
      </c>
      <c r="C19" s="54">
        <v>50</v>
      </c>
      <c r="D19" s="55">
        <f t="shared" si="0"/>
        <v>72.35072</v>
      </c>
      <c r="E19" s="64">
        <f t="shared" si="1"/>
        <v>59.864999999999995</v>
      </c>
      <c r="F19" s="67">
        <f t="shared" si="3"/>
        <v>59.864999999999995</v>
      </c>
      <c r="K19" s="1">
        <f t="shared" si="2"/>
        <v>0.7712000000000001</v>
      </c>
    </row>
    <row r="20" spans="2:11" ht="12.75">
      <c r="B20" s="59">
        <v>24</v>
      </c>
      <c r="C20" s="54">
        <v>30</v>
      </c>
      <c r="D20" s="55">
        <f t="shared" si="0"/>
        <v>71.03384</v>
      </c>
      <c r="E20" s="64">
        <f t="shared" si="1"/>
        <v>72.91499999999999</v>
      </c>
      <c r="F20" s="67">
        <f t="shared" si="3"/>
        <v>71.03384</v>
      </c>
      <c r="G20" t="s">
        <v>122</v>
      </c>
      <c r="K20" s="1">
        <f t="shared" si="2"/>
        <v>0.7464000000000001</v>
      </c>
    </row>
    <row r="21" spans="2:11" ht="12.75">
      <c r="B21" s="59">
        <v>24</v>
      </c>
      <c r="C21" s="54">
        <v>33</v>
      </c>
      <c r="D21" s="55">
        <f t="shared" si="0"/>
        <v>71.03384</v>
      </c>
      <c r="E21" s="64">
        <f t="shared" si="1"/>
        <v>70.9575</v>
      </c>
      <c r="F21" s="67">
        <f t="shared" si="3"/>
        <v>70.9575</v>
      </c>
      <c r="K21" s="1">
        <f t="shared" si="2"/>
        <v>0.7464000000000001</v>
      </c>
    </row>
    <row r="22" spans="2:11" ht="12.75">
      <c r="B22" s="59">
        <v>24</v>
      </c>
      <c r="C22" s="54">
        <v>35</v>
      </c>
      <c r="D22" s="55">
        <f t="shared" si="0"/>
        <v>71.03384</v>
      </c>
      <c r="E22" s="64">
        <f t="shared" si="1"/>
        <v>69.6525</v>
      </c>
      <c r="F22" s="67">
        <f t="shared" si="3"/>
        <v>69.6525</v>
      </c>
      <c r="K22" s="1">
        <f t="shared" si="2"/>
        <v>0.7464000000000001</v>
      </c>
    </row>
    <row r="23" spans="2:11" ht="12.75">
      <c r="B23" s="59">
        <v>24</v>
      </c>
      <c r="C23" s="54">
        <v>38</v>
      </c>
      <c r="D23" s="55">
        <f t="shared" si="0"/>
        <v>71.03384</v>
      </c>
      <c r="E23" s="64">
        <f t="shared" si="1"/>
        <v>67.695</v>
      </c>
      <c r="F23" s="67">
        <f t="shared" si="3"/>
        <v>67.695</v>
      </c>
      <c r="K23" s="1">
        <f t="shared" si="2"/>
        <v>0.7464000000000001</v>
      </c>
    </row>
    <row r="24" spans="2:11" ht="12.75">
      <c r="B24" s="59">
        <v>24</v>
      </c>
      <c r="C24" s="54">
        <v>40</v>
      </c>
      <c r="D24" s="55">
        <f t="shared" si="0"/>
        <v>71.03384</v>
      </c>
      <c r="E24" s="64">
        <f t="shared" si="1"/>
        <v>66.39</v>
      </c>
      <c r="F24" s="67">
        <f t="shared" si="3"/>
        <v>66.39</v>
      </c>
      <c r="G24" t="s">
        <v>121</v>
      </c>
      <c r="K24" s="1">
        <f t="shared" si="2"/>
        <v>0.7464000000000001</v>
      </c>
    </row>
    <row r="25" spans="2:11" ht="12.75">
      <c r="B25" s="59">
        <v>24</v>
      </c>
      <c r="C25" s="54">
        <v>45</v>
      </c>
      <c r="D25" s="55">
        <f t="shared" si="0"/>
        <v>71.03384</v>
      </c>
      <c r="E25" s="64">
        <f t="shared" si="1"/>
        <v>63.1275</v>
      </c>
      <c r="F25" s="67">
        <f t="shared" si="3"/>
        <v>63.1275</v>
      </c>
      <c r="K25" s="1">
        <f t="shared" si="2"/>
        <v>0.7464000000000001</v>
      </c>
    </row>
    <row r="26" spans="2:11" ht="12.75">
      <c r="B26" s="59">
        <v>24</v>
      </c>
      <c r="C26" s="54">
        <v>50</v>
      </c>
      <c r="D26" s="55">
        <f t="shared" si="0"/>
        <v>71.03384</v>
      </c>
      <c r="E26" s="64">
        <f t="shared" si="1"/>
        <v>59.864999999999995</v>
      </c>
      <c r="F26" s="67">
        <f t="shared" si="3"/>
        <v>59.864999999999995</v>
      </c>
      <c r="K26" s="1">
        <f t="shared" si="2"/>
        <v>0.7464000000000001</v>
      </c>
    </row>
    <row r="27" spans="2:11" ht="12.75">
      <c r="B27" s="59">
        <v>26</v>
      </c>
      <c r="C27" s="54">
        <v>30</v>
      </c>
      <c r="D27" s="55">
        <f t="shared" si="0"/>
        <v>69.71696</v>
      </c>
      <c r="E27" s="64">
        <f t="shared" si="1"/>
        <v>72.91499999999999</v>
      </c>
      <c r="F27" s="67">
        <f t="shared" si="3"/>
        <v>69.71696</v>
      </c>
      <c r="K27" s="1">
        <f t="shared" si="2"/>
        <v>0.7216</v>
      </c>
    </row>
    <row r="28" spans="2:11" ht="12.75">
      <c r="B28" s="59">
        <v>26</v>
      </c>
      <c r="C28" s="54">
        <v>33</v>
      </c>
      <c r="D28" s="55">
        <f t="shared" si="0"/>
        <v>69.71696</v>
      </c>
      <c r="E28" s="64">
        <f t="shared" si="1"/>
        <v>70.9575</v>
      </c>
      <c r="F28" s="67">
        <f t="shared" si="3"/>
        <v>69.71696</v>
      </c>
      <c r="K28" s="1">
        <f t="shared" si="2"/>
        <v>0.7216</v>
      </c>
    </row>
    <row r="29" spans="2:11" ht="12.75">
      <c r="B29" s="59">
        <v>26</v>
      </c>
      <c r="C29" s="54">
        <v>35</v>
      </c>
      <c r="D29" s="55">
        <f t="shared" si="0"/>
        <v>69.71696</v>
      </c>
      <c r="E29" s="64">
        <f t="shared" si="1"/>
        <v>69.6525</v>
      </c>
      <c r="F29" s="67">
        <f t="shared" si="3"/>
        <v>69.6525</v>
      </c>
      <c r="K29" s="1">
        <f t="shared" si="2"/>
        <v>0.7216</v>
      </c>
    </row>
    <row r="30" spans="2:11" ht="12.75">
      <c r="B30" s="59">
        <v>26</v>
      </c>
      <c r="C30" s="54">
        <v>38</v>
      </c>
      <c r="D30" s="55">
        <f t="shared" si="0"/>
        <v>69.71696</v>
      </c>
      <c r="E30" s="64">
        <f t="shared" si="1"/>
        <v>67.695</v>
      </c>
      <c r="F30" s="67">
        <f t="shared" si="3"/>
        <v>67.695</v>
      </c>
      <c r="K30" s="1">
        <f t="shared" si="2"/>
        <v>0.7216</v>
      </c>
    </row>
    <row r="31" spans="2:11" ht="12.75">
      <c r="B31" s="59">
        <v>26</v>
      </c>
      <c r="C31" s="54">
        <v>40</v>
      </c>
      <c r="D31" s="55">
        <f t="shared" si="0"/>
        <v>69.71696</v>
      </c>
      <c r="E31" s="64">
        <f t="shared" si="1"/>
        <v>66.39</v>
      </c>
      <c r="F31" s="67">
        <f t="shared" si="3"/>
        <v>66.39</v>
      </c>
      <c r="K31" s="1">
        <f t="shared" si="2"/>
        <v>0.7216</v>
      </c>
    </row>
    <row r="32" spans="2:11" ht="12.75">
      <c r="B32" s="59">
        <v>26</v>
      </c>
      <c r="C32" s="54">
        <v>45</v>
      </c>
      <c r="D32" s="55">
        <f t="shared" si="0"/>
        <v>69.71696</v>
      </c>
      <c r="E32" s="64">
        <f t="shared" si="1"/>
        <v>63.1275</v>
      </c>
      <c r="F32" s="67">
        <f t="shared" si="3"/>
        <v>63.1275</v>
      </c>
      <c r="G32" t="s">
        <v>119</v>
      </c>
      <c r="K32" s="1">
        <f t="shared" si="2"/>
        <v>0.7216</v>
      </c>
    </row>
    <row r="33" spans="2:11" ht="12.75">
      <c r="B33" s="59">
        <v>26</v>
      </c>
      <c r="C33" s="54">
        <v>50</v>
      </c>
      <c r="D33" s="55">
        <f t="shared" si="0"/>
        <v>69.71696</v>
      </c>
      <c r="E33" s="64">
        <f t="shared" si="1"/>
        <v>59.864999999999995</v>
      </c>
      <c r="F33" s="67">
        <f t="shared" si="3"/>
        <v>59.864999999999995</v>
      </c>
      <c r="K33" s="1">
        <f t="shared" si="2"/>
        <v>0.7216</v>
      </c>
    </row>
    <row r="34" spans="2:11" ht="12.75">
      <c r="B34" s="59">
        <v>28</v>
      </c>
      <c r="C34" s="54">
        <v>30</v>
      </c>
      <c r="D34" s="55">
        <f t="shared" si="0"/>
        <v>68.40008</v>
      </c>
      <c r="E34" s="64">
        <f t="shared" si="1"/>
        <v>72.91499999999999</v>
      </c>
      <c r="F34" s="67">
        <f t="shared" si="3"/>
        <v>68.40008</v>
      </c>
      <c r="K34" s="1">
        <f t="shared" si="2"/>
        <v>0.6968000000000001</v>
      </c>
    </row>
    <row r="35" spans="2:11" ht="12.75">
      <c r="B35" s="59">
        <v>28</v>
      </c>
      <c r="C35" s="54">
        <v>33</v>
      </c>
      <c r="D35" s="55">
        <f t="shared" si="0"/>
        <v>68.40008</v>
      </c>
      <c r="E35" s="64">
        <f t="shared" si="1"/>
        <v>70.9575</v>
      </c>
      <c r="F35" s="67">
        <f t="shared" si="3"/>
        <v>68.40008</v>
      </c>
      <c r="G35" t="s">
        <v>119</v>
      </c>
      <c r="H35" t="s">
        <v>119</v>
      </c>
      <c r="K35" s="1">
        <f t="shared" si="2"/>
        <v>0.6968000000000001</v>
      </c>
    </row>
    <row r="36" spans="2:11" ht="12.75">
      <c r="B36" s="59">
        <v>28</v>
      </c>
      <c r="C36" s="54">
        <v>35</v>
      </c>
      <c r="D36" s="55">
        <f t="shared" si="0"/>
        <v>68.40008</v>
      </c>
      <c r="E36" s="64">
        <f t="shared" si="1"/>
        <v>69.6525</v>
      </c>
      <c r="F36" s="67">
        <f t="shared" si="3"/>
        <v>68.40008</v>
      </c>
      <c r="H36" t="s">
        <v>119</v>
      </c>
      <c r="K36" s="1">
        <f t="shared" si="2"/>
        <v>0.6968000000000001</v>
      </c>
    </row>
    <row r="37" spans="2:11" ht="12.75">
      <c r="B37" s="59">
        <v>28</v>
      </c>
      <c r="C37" s="54">
        <v>38</v>
      </c>
      <c r="D37" s="55">
        <f t="shared" si="0"/>
        <v>68.40008</v>
      </c>
      <c r="E37" s="64">
        <f t="shared" si="1"/>
        <v>67.695</v>
      </c>
      <c r="F37" s="67">
        <f t="shared" si="3"/>
        <v>67.695</v>
      </c>
      <c r="K37" s="1">
        <f t="shared" si="2"/>
        <v>0.6968000000000001</v>
      </c>
    </row>
    <row r="38" spans="2:11" ht="12.75">
      <c r="B38" s="59">
        <v>28</v>
      </c>
      <c r="C38" s="54">
        <v>40</v>
      </c>
      <c r="D38" s="55">
        <f aca="true" t="shared" si="4" ref="D38:D54">31.4+(53.1*K38)</f>
        <v>68.40008</v>
      </c>
      <c r="E38" s="64">
        <f t="shared" si="1"/>
        <v>66.39</v>
      </c>
      <c r="F38" s="67">
        <f t="shared" si="3"/>
        <v>66.39</v>
      </c>
      <c r="K38" s="1">
        <f aca="true" t="shared" si="5" ref="K38:K54">1.044-(0.0124*B38)</f>
        <v>0.6968000000000001</v>
      </c>
    </row>
    <row r="39" spans="2:11" ht="12.75">
      <c r="B39" s="59">
        <v>28</v>
      </c>
      <c r="C39" s="54">
        <v>45</v>
      </c>
      <c r="D39" s="55">
        <f t="shared" si="4"/>
        <v>68.40008</v>
      </c>
      <c r="E39" s="64">
        <f t="shared" si="1"/>
        <v>63.1275</v>
      </c>
      <c r="F39" s="67">
        <f t="shared" si="3"/>
        <v>63.1275</v>
      </c>
      <c r="K39" s="1">
        <f t="shared" si="5"/>
        <v>0.6968000000000001</v>
      </c>
    </row>
    <row r="40" spans="2:11" ht="12.75">
      <c r="B40" s="59">
        <v>28</v>
      </c>
      <c r="C40" s="54">
        <v>50</v>
      </c>
      <c r="D40" s="55">
        <f t="shared" si="4"/>
        <v>68.40008</v>
      </c>
      <c r="E40" s="64">
        <f>92.49+(-0.6525*C40)</f>
        <v>59.864999999999995</v>
      </c>
      <c r="F40" s="67">
        <f t="shared" si="3"/>
        <v>59.864999999999995</v>
      </c>
      <c r="K40" s="1">
        <f t="shared" si="5"/>
        <v>0.6968000000000001</v>
      </c>
    </row>
    <row r="41" spans="2:11" ht="12.75">
      <c r="B41" s="59">
        <v>30</v>
      </c>
      <c r="C41" s="54">
        <v>30</v>
      </c>
      <c r="D41" s="55">
        <f t="shared" si="4"/>
        <v>67.0832</v>
      </c>
      <c r="E41" s="64">
        <f t="shared" si="1"/>
        <v>72.91499999999999</v>
      </c>
      <c r="F41" s="67">
        <f t="shared" si="3"/>
        <v>67.0832</v>
      </c>
      <c r="K41" s="1">
        <f t="shared" si="5"/>
        <v>0.672</v>
      </c>
    </row>
    <row r="42" spans="2:11" ht="12.75">
      <c r="B42" s="59">
        <v>30</v>
      </c>
      <c r="C42" s="54">
        <v>33</v>
      </c>
      <c r="D42" s="55">
        <f t="shared" si="4"/>
        <v>67.0832</v>
      </c>
      <c r="E42" s="64">
        <f t="shared" si="1"/>
        <v>70.9575</v>
      </c>
      <c r="F42" s="67">
        <f t="shared" si="3"/>
        <v>67.0832</v>
      </c>
      <c r="K42" s="1">
        <f t="shared" si="5"/>
        <v>0.672</v>
      </c>
    </row>
    <row r="43" spans="2:11" ht="12.75">
      <c r="B43" s="59">
        <v>30</v>
      </c>
      <c r="C43" s="54">
        <v>35</v>
      </c>
      <c r="D43" s="55">
        <f t="shared" si="4"/>
        <v>67.0832</v>
      </c>
      <c r="E43" s="64">
        <f t="shared" si="1"/>
        <v>69.6525</v>
      </c>
      <c r="F43" s="67">
        <f t="shared" si="3"/>
        <v>67.0832</v>
      </c>
      <c r="K43" s="1">
        <f t="shared" si="5"/>
        <v>0.672</v>
      </c>
    </row>
    <row r="44" spans="2:11" ht="12.75">
      <c r="B44" s="59">
        <v>30</v>
      </c>
      <c r="C44" s="54">
        <v>38</v>
      </c>
      <c r="D44" s="55">
        <f t="shared" si="4"/>
        <v>67.0832</v>
      </c>
      <c r="E44" s="64">
        <f t="shared" si="1"/>
        <v>67.695</v>
      </c>
      <c r="F44" s="67">
        <f t="shared" si="3"/>
        <v>67.0832</v>
      </c>
      <c r="K44" s="1">
        <f t="shared" si="5"/>
        <v>0.672</v>
      </c>
    </row>
    <row r="45" spans="2:11" ht="12.75">
      <c r="B45" s="59">
        <v>30</v>
      </c>
      <c r="C45" s="54">
        <v>40</v>
      </c>
      <c r="D45" s="55">
        <f t="shared" si="4"/>
        <v>67.0832</v>
      </c>
      <c r="E45" s="64">
        <f t="shared" si="1"/>
        <v>66.39</v>
      </c>
      <c r="F45" s="67">
        <f t="shared" si="3"/>
        <v>66.39</v>
      </c>
      <c r="K45" s="1">
        <f t="shared" si="5"/>
        <v>0.672</v>
      </c>
    </row>
    <row r="46" spans="2:11" ht="12.75">
      <c r="B46" s="59">
        <v>30</v>
      </c>
      <c r="C46" s="54">
        <v>45</v>
      </c>
      <c r="D46" s="55">
        <f t="shared" si="4"/>
        <v>67.0832</v>
      </c>
      <c r="E46" s="64">
        <f t="shared" si="1"/>
        <v>63.1275</v>
      </c>
      <c r="F46" s="67">
        <f t="shared" si="3"/>
        <v>63.1275</v>
      </c>
      <c r="G46" t="s">
        <v>119</v>
      </c>
      <c r="K46" s="1">
        <f t="shared" si="5"/>
        <v>0.672</v>
      </c>
    </row>
    <row r="47" spans="2:11" ht="12.75">
      <c r="B47" s="59">
        <v>30</v>
      </c>
      <c r="C47" s="54">
        <v>50</v>
      </c>
      <c r="D47" s="55">
        <f t="shared" si="4"/>
        <v>67.0832</v>
      </c>
      <c r="E47" s="64">
        <f t="shared" si="1"/>
        <v>59.864999999999995</v>
      </c>
      <c r="F47" s="67">
        <f t="shared" si="3"/>
        <v>59.864999999999995</v>
      </c>
      <c r="H47" t="s">
        <v>119</v>
      </c>
      <c r="K47" s="1">
        <f t="shared" si="5"/>
        <v>0.672</v>
      </c>
    </row>
    <row r="48" spans="2:11" ht="12.75">
      <c r="B48" s="59">
        <v>32</v>
      </c>
      <c r="C48" s="54">
        <v>30</v>
      </c>
      <c r="D48" s="55">
        <f t="shared" si="4"/>
        <v>65.76632000000001</v>
      </c>
      <c r="E48" s="64">
        <f t="shared" si="1"/>
        <v>72.91499999999999</v>
      </c>
      <c r="F48" s="67">
        <f t="shared" si="3"/>
        <v>65.76632000000001</v>
      </c>
      <c r="K48" s="1">
        <f t="shared" si="5"/>
        <v>0.6472</v>
      </c>
    </row>
    <row r="49" spans="2:11" ht="12.75">
      <c r="B49" s="59">
        <v>32</v>
      </c>
      <c r="C49" s="54">
        <v>33</v>
      </c>
      <c r="D49" s="55">
        <f t="shared" si="4"/>
        <v>65.76632000000001</v>
      </c>
      <c r="E49" s="64">
        <f t="shared" si="1"/>
        <v>70.9575</v>
      </c>
      <c r="F49" s="67">
        <f t="shared" si="3"/>
        <v>65.76632000000001</v>
      </c>
      <c r="K49" s="1">
        <f t="shared" si="5"/>
        <v>0.6472</v>
      </c>
    </row>
    <row r="50" spans="2:11" ht="12.75">
      <c r="B50" s="59">
        <v>32</v>
      </c>
      <c r="C50" s="54">
        <v>35</v>
      </c>
      <c r="D50" s="55">
        <f t="shared" si="4"/>
        <v>65.76632000000001</v>
      </c>
      <c r="E50" s="64">
        <f t="shared" si="1"/>
        <v>69.6525</v>
      </c>
      <c r="F50" s="67">
        <f t="shared" si="3"/>
        <v>65.76632000000001</v>
      </c>
      <c r="K50" s="1">
        <f t="shared" si="5"/>
        <v>0.6472</v>
      </c>
    </row>
    <row r="51" spans="2:11" ht="12.75">
      <c r="B51" s="59">
        <v>32</v>
      </c>
      <c r="C51" s="54">
        <v>38</v>
      </c>
      <c r="D51" s="55">
        <f t="shared" si="4"/>
        <v>65.76632000000001</v>
      </c>
      <c r="E51" s="64">
        <f t="shared" si="1"/>
        <v>67.695</v>
      </c>
      <c r="F51" s="67">
        <f t="shared" si="3"/>
        <v>65.76632000000001</v>
      </c>
      <c r="K51" s="1">
        <f t="shared" si="5"/>
        <v>0.6472</v>
      </c>
    </row>
    <row r="52" spans="2:11" ht="12.75">
      <c r="B52" s="59">
        <v>32</v>
      </c>
      <c r="C52" s="54">
        <v>40</v>
      </c>
      <c r="D52" s="55">
        <f t="shared" si="4"/>
        <v>65.76632000000001</v>
      </c>
      <c r="E52" s="64">
        <f t="shared" si="1"/>
        <v>66.39</v>
      </c>
      <c r="F52" s="67">
        <f t="shared" si="3"/>
        <v>65.76632000000001</v>
      </c>
      <c r="K52" s="1">
        <f t="shared" si="5"/>
        <v>0.6472</v>
      </c>
    </row>
    <row r="53" spans="2:11" ht="12.75">
      <c r="B53" s="59">
        <v>32</v>
      </c>
      <c r="C53" s="54">
        <v>45</v>
      </c>
      <c r="D53" s="55">
        <f t="shared" si="4"/>
        <v>65.76632000000001</v>
      </c>
      <c r="E53" s="64">
        <f t="shared" si="1"/>
        <v>63.1275</v>
      </c>
      <c r="F53" s="67">
        <f t="shared" si="3"/>
        <v>63.1275</v>
      </c>
      <c r="K53" s="1">
        <f t="shared" si="5"/>
        <v>0.6472</v>
      </c>
    </row>
    <row r="54" spans="2:11" ht="13.5" thickBot="1">
      <c r="B54" s="60">
        <v>32</v>
      </c>
      <c r="C54" s="61">
        <v>50</v>
      </c>
      <c r="D54" s="62">
        <f t="shared" si="4"/>
        <v>65.76632000000001</v>
      </c>
      <c r="E54" s="65">
        <f t="shared" si="1"/>
        <v>59.864999999999995</v>
      </c>
      <c r="F54" s="68">
        <f t="shared" si="3"/>
        <v>59.864999999999995</v>
      </c>
      <c r="K54" s="1">
        <f t="shared" si="5"/>
        <v>0.6472</v>
      </c>
    </row>
    <row r="55" ht="12.75">
      <c r="F55" s="51" t="s">
        <v>119</v>
      </c>
    </row>
  </sheetData>
  <sheetProtection/>
  <printOptions/>
  <pageMargins left="0.75" right="0.75" top="0.71" bottom="0.7" header="0.5" footer="0.5"/>
  <pageSetup fitToHeight="1" fitToWidth="1" horizontalDpi="600" verticalDpi="600" orientation="portrait" scale="9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Inmature Corn Plants</dc:title>
  <dc:subject/>
  <dc:creator>Gary G. Frank</dc:creator>
  <cp:keywords/>
  <dc:description/>
  <cp:lastModifiedBy>Orth, Julie</cp:lastModifiedBy>
  <cp:lastPrinted>1998-08-17T20:07:31Z</cp:lastPrinted>
  <dcterms:created xsi:type="dcterms:W3CDTF">1997-08-19T14:24:35Z</dcterms:created>
  <dcterms:modified xsi:type="dcterms:W3CDTF">2014-05-02T14:42:20Z</dcterms:modified>
  <cp:category/>
  <cp:version/>
  <cp:contentType/>
  <cp:contentStatus/>
</cp:coreProperties>
</file>