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Groups\Agriculture\Faculty and Staff Folders\Bernhardt\Decision Tools\Financial Statements _ Analysis\"/>
    </mc:Choice>
  </mc:AlternateContent>
  <bookViews>
    <workbookView xWindow="0" yWindow="0" windowWidth="19200" windowHeight="8290" tabRatio="750" activeTab="2"/>
  </bookViews>
  <sheets>
    <sheet name="Introduction" sheetId="9" r:id="rId1"/>
    <sheet name="Cash Earnings" sheetId="1" r:id="rId2"/>
    <sheet name="Current Balance Sheet" sheetId="4" r:id="rId3"/>
    <sheet name="Bernhardt Dozen" sheetId="2" r:id="rId4"/>
    <sheet name="Farm Center Dozen" sheetId="7" r:id="rId5"/>
    <sheet name="Ratio Scorecard"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6" l="1"/>
  <c r="H17" i="6"/>
  <c r="N17" i="6"/>
  <c r="M17" i="6"/>
  <c r="L17" i="6"/>
  <c r="K17" i="6"/>
  <c r="J17" i="6"/>
  <c r="J29" i="6" l="1"/>
  <c r="J3" i="6" l="1"/>
  <c r="J66" i="6" l="1"/>
  <c r="J63" i="6"/>
  <c r="J62" i="6"/>
  <c r="J60" i="6"/>
  <c r="J59" i="6"/>
  <c r="J58" i="6"/>
  <c r="J56" i="6"/>
  <c r="J55" i="6"/>
  <c r="J54" i="6"/>
  <c r="J53" i="6"/>
  <c r="C1" i="7" l="1"/>
  <c r="C1" i="2"/>
  <c r="H51" i="4" l="1"/>
  <c r="E41" i="4"/>
  <c r="E40" i="4"/>
  <c r="E35" i="4"/>
  <c r="E23" i="4"/>
  <c r="E13" i="4"/>
  <c r="C4" i="7" s="1"/>
  <c r="E35" i="2"/>
  <c r="D35" i="2"/>
  <c r="C35" i="2"/>
  <c r="E34" i="2"/>
  <c r="D34" i="2"/>
  <c r="C34" i="2"/>
  <c r="C32" i="2"/>
  <c r="E31" i="2"/>
  <c r="D31" i="2"/>
  <c r="C31" i="2"/>
  <c r="C30" i="2"/>
  <c r="C28" i="2"/>
  <c r="C27" i="2"/>
  <c r="C26" i="2"/>
  <c r="C25" i="2"/>
  <c r="E45" i="7"/>
  <c r="H63" i="6" s="1"/>
  <c r="E44" i="7"/>
  <c r="H62" i="6" s="1"/>
  <c r="E41" i="7"/>
  <c r="H59" i="6" s="1"/>
  <c r="C45" i="7"/>
  <c r="C44" i="7"/>
  <c r="C42" i="7"/>
  <c r="C41" i="7"/>
  <c r="C40" i="7"/>
  <c r="C38" i="7"/>
  <c r="C37" i="7"/>
  <c r="C36" i="7"/>
  <c r="C35" i="7"/>
  <c r="C8" i="7"/>
  <c r="D45" i="7"/>
  <c r="G63" i="6" s="1"/>
  <c r="D44" i="7"/>
  <c r="G62" i="6" s="1"/>
  <c r="D41" i="7"/>
  <c r="G59" i="6" s="1"/>
  <c r="E14" i="7" l="1"/>
  <c r="C15" i="7"/>
  <c r="C14" i="7"/>
  <c r="D14" i="7"/>
  <c r="J6" i="6" l="1"/>
  <c r="J5" i="6"/>
  <c r="H49" i="4" l="1"/>
  <c r="C48" i="7" l="1"/>
  <c r="C38" i="2"/>
  <c r="E24" i="4"/>
  <c r="E43" i="4" s="1"/>
  <c r="C5" i="7" l="1"/>
  <c r="E6" i="2"/>
  <c r="D6" i="2"/>
  <c r="C6" i="2"/>
  <c r="J10" i="6"/>
  <c r="C7" i="7"/>
  <c r="C6" i="7"/>
  <c r="J12" i="6"/>
  <c r="J11" i="6"/>
  <c r="K5" i="1"/>
  <c r="L5" i="1"/>
  <c r="K9" i="1"/>
  <c r="L9" i="1"/>
  <c r="K10" i="1"/>
  <c r="K6" i="1"/>
  <c r="L6" i="1"/>
  <c r="K16" i="1"/>
  <c r="L16" i="1"/>
  <c r="K17" i="1"/>
  <c r="L17" i="1"/>
  <c r="K18" i="1"/>
  <c r="L18" i="1"/>
  <c r="K19" i="1"/>
  <c r="L19" i="1"/>
  <c r="K20" i="1"/>
  <c r="L20" i="1"/>
  <c r="K21" i="1"/>
  <c r="L21" i="1"/>
  <c r="K22" i="1"/>
  <c r="L22" i="1"/>
  <c r="K23" i="1"/>
  <c r="L23" i="1"/>
  <c r="K24" i="1"/>
  <c r="L24" i="1"/>
  <c r="K25" i="1"/>
  <c r="L25" i="1"/>
  <c r="K26" i="1"/>
  <c r="L26"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7" i="1"/>
  <c r="L57" i="1"/>
  <c r="K61" i="1"/>
  <c r="L61" i="1"/>
  <c r="K62" i="1"/>
  <c r="L62" i="1"/>
  <c r="K63" i="1"/>
  <c r="L63" i="1"/>
  <c r="K65" i="1"/>
  <c r="L65" i="1"/>
  <c r="K66" i="1"/>
  <c r="L66" i="1"/>
  <c r="K67" i="1"/>
  <c r="L67" i="1"/>
  <c r="L4" i="1"/>
  <c r="K4" i="1"/>
  <c r="D8" i="7" s="1"/>
  <c r="J10" i="1"/>
  <c r="I10" i="1"/>
  <c r="F56" i="1"/>
  <c r="G56" i="1"/>
  <c r="H56" i="1"/>
  <c r="J56" i="1"/>
  <c r="J27" i="1"/>
  <c r="F27" i="1"/>
  <c r="G27" i="1"/>
  <c r="G8" i="1" s="1"/>
  <c r="H27" i="1"/>
  <c r="H8" i="1" s="1"/>
  <c r="I56" i="1"/>
  <c r="I27" i="1"/>
  <c r="I8" i="1" l="1"/>
  <c r="M20" i="6"/>
  <c r="M32" i="6"/>
  <c r="M34" i="6"/>
  <c r="M33" i="6"/>
  <c r="F8" i="1"/>
  <c r="M30" i="6"/>
  <c r="M31" i="6"/>
  <c r="J8" i="1"/>
  <c r="N20" i="6"/>
  <c r="N32" i="6"/>
  <c r="N34" i="6"/>
  <c r="N33" i="6"/>
  <c r="E8" i="7"/>
  <c r="N30" i="6"/>
  <c r="N31" i="6"/>
  <c r="L10" i="1"/>
  <c r="K30" i="6"/>
  <c r="K31" i="6"/>
  <c r="E40" i="7"/>
  <c r="H58" i="6" s="1"/>
  <c r="E30" i="2"/>
  <c r="L20" i="6"/>
  <c r="L33" i="6"/>
  <c r="L34" i="6"/>
  <c r="L32" i="6"/>
  <c r="J58" i="1"/>
  <c r="J60" i="1" s="1"/>
  <c r="K33" i="6"/>
  <c r="K32" i="6"/>
  <c r="K34" i="6"/>
  <c r="K20" i="6"/>
  <c r="H58" i="1"/>
  <c r="H60" i="1" s="1"/>
  <c r="L19" i="6" s="1"/>
  <c r="L31" i="6"/>
  <c r="L30" i="6"/>
  <c r="D32" i="2"/>
  <c r="D42" i="7"/>
  <c r="G60" i="6" s="1"/>
  <c r="D25" i="2"/>
  <c r="D35" i="7"/>
  <c r="G53" i="6" s="1"/>
  <c r="D38" i="7"/>
  <c r="G56" i="6" s="1"/>
  <c r="D28" i="2"/>
  <c r="D38" i="2"/>
  <c r="D48" i="7"/>
  <c r="G66" i="6" s="1"/>
  <c r="D36" i="7"/>
  <c r="G54" i="6" s="1"/>
  <c r="D26" i="2"/>
  <c r="I58" i="1"/>
  <c r="M14" i="6" s="1"/>
  <c r="F58" i="1"/>
  <c r="C11" i="2"/>
  <c r="C11" i="7"/>
  <c r="J30" i="6"/>
  <c r="J31" i="6"/>
  <c r="D40" i="7"/>
  <c r="G58" i="6" s="1"/>
  <c r="D30" i="2"/>
  <c r="D27" i="2"/>
  <c r="D37" i="7"/>
  <c r="G55" i="6" s="1"/>
  <c r="E15" i="7"/>
  <c r="C5" i="2"/>
  <c r="C13" i="2"/>
  <c r="C9" i="2"/>
  <c r="C12" i="2"/>
  <c r="J33" i="6"/>
  <c r="J20" i="6"/>
  <c r="J32" i="6"/>
  <c r="J34" i="6"/>
  <c r="J7" i="6"/>
  <c r="E27" i="2"/>
  <c r="E37" i="7"/>
  <c r="H55" i="6" s="1"/>
  <c r="E32" i="2"/>
  <c r="E42" i="7"/>
  <c r="H60" i="6" s="1"/>
  <c r="E35" i="7"/>
  <c r="H53" i="6" s="1"/>
  <c r="E25" i="2"/>
  <c r="E38" i="7"/>
  <c r="H56" i="6" s="1"/>
  <c r="E28" i="2"/>
  <c r="E26" i="2"/>
  <c r="E48" i="7"/>
  <c r="H66" i="6" s="1"/>
  <c r="E36" i="7"/>
  <c r="H54" i="6" s="1"/>
  <c r="E38" i="2"/>
  <c r="D15" i="7"/>
  <c r="K56" i="1"/>
  <c r="K27" i="1"/>
  <c r="L27" i="1"/>
  <c r="G58" i="1"/>
  <c r="K14" i="6" s="1"/>
  <c r="L56" i="1"/>
  <c r="N19" i="6" l="1"/>
  <c r="N15" i="6"/>
  <c r="N35" i="6"/>
  <c r="J14" i="6"/>
  <c r="L8" i="1"/>
  <c r="N14" i="6"/>
  <c r="K8" i="1"/>
  <c r="G33" i="6"/>
  <c r="L35" i="6"/>
  <c r="L15" i="6"/>
  <c r="H64" i="1"/>
  <c r="J64" i="1"/>
  <c r="E11" i="2"/>
  <c r="E11" i="7"/>
  <c r="G31" i="6"/>
  <c r="D13" i="2"/>
  <c r="D5" i="2"/>
  <c r="H20" i="6"/>
  <c r="I60" i="1"/>
  <c r="G20" i="6"/>
  <c r="H34" i="6"/>
  <c r="H33" i="6"/>
  <c r="E5" i="2"/>
  <c r="E9" i="2"/>
  <c r="E12" i="2"/>
  <c r="G34" i="6"/>
  <c r="C18" i="7"/>
  <c r="C17" i="7"/>
  <c r="E13" i="2"/>
  <c r="G30" i="6"/>
  <c r="D11" i="7"/>
  <c r="H30" i="6"/>
  <c r="H31" i="6"/>
  <c r="L14" i="6"/>
  <c r="F60" i="1"/>
  <c r="J18" i="6" s="1"/>
  <c r="J8" i="6"/>
  <c r="G32" i="6"/>
  <c r="H32" i="6"/>
  <c r="D9" i="2"/>
  <c r="D12" i="2"/>
  <c r="D11" i="2"/>
  <c r="H48" i="4"/>
  <c r="H50" i="4" s="1"/>
  <c r="H52" i="4" s="1"/>
  <c r="G60" i="1"/>
  <c r="K19" i="6" s="1"/>
  <c r="K58" i="1"/>
  <c r="L58" i="1"/>
  <c r="M15" i="6" l="1"/>
  <c r="M19" i="6"/>
  <c r="M35" i="6"/>
  <c r="N16" i="6"/>
  <c r="N23" i="6"/>
  <c r="G14" i="6"/>
  <c r="L60" i="1"/>
  <c r="K15" i="6"/>
  <c r="K35" i="6"/>
  <c r="G64" i="1"/>
  <c r="H14" i="6"/>
  <c r="D17" i="7"/>
  <c r="D18" i="7"/>
  <c r="J15" i="6"/>
  <c r="I64" i="1"/>
  <c r="J68" i="1"/>
  <c r="L23" i="6"/>
  <c r="L16" i="6"/>
  <c r="H68" i="1"/>
  <c r="C8" i="2"/>
  <c r="C7" i="2"/>
  <c r="C3" i="2"/>
  <c r="C10" i="2"/>
  <c r="F64" i="1"/>
  <c r="E18" i="7"/>
  <c r="E17" i="7"/>
  <c r="J35" i="6"/>
  <c r="J19" i="6"/>
  <c r="J21" i="6"/>
  <c r="K60" i="1"/>
  <c r="G68" i="1"/>
  <c r="M16" i="6" l="1"/>
  <c r="M23" i="6"/>
  <c r="J23" i="6"/>
  <c r="J24" i="6" s="1"/>
  <c r="J25" i="6" s="1"/>
  <c r="J52" i="6"/>
  <c r="J57" i="6" s="1"/>
  <c r="J61" i="6" s="1"/>
  <c r="G19" i="6"/>
  <c r="G15" i="6"/>
  <c r="G35" i="6"/>
  <c r="J16" i="6"/>
  <c r="D8" i="2"/>
  <c r="D7" i="2"/>
  <c r="I68" i="1"/>
  <c r="C34" i="7"/>
  <c r="C39" i="7" s="1"/>
  <c r="C43" i="7" s="1"/>
  <c r="C10" i="7"/>
  <c r="C24" i="2"/>
  <c r="C29" i="2" s="1"/>
  <c r="C33" i="2" s="1"/>
  <c r="C4" i="2"/>
  <c r="K23" i="6"/>
  <c r="K16" i="6"/>
  <c r="E8" i="2"/>
  <c r="E7" i="2"/>
  <c r="E3" i="2"/>
  <c r="E10" i="2"/>
  <c r="H15" i="6"/>
  <c r="H35" i="6"/>
  <c r="H19" i="6"/>
  <c r="D10" i="2"/>
  <c r="D3" i="2"/>
  <c r="L64" i="1"/>
  <c r="F68" i="1"/>
  <c r="K64" i="1"/>
  <c r="J26" i="6" l="1"/>
  <c r="J27" i="6"/>
  <c r="G23" i="6"/>
  <c r="J65" i="6"/>
  <c r="J64" i="6"/>
  <c r="G16" i="6"/>
  <c r="C36" i="2"/>
  <c r="C14" i="2" s="1"/>
  <c r="C37" i="2"/>
  <c r="C47" i="7"/>
  <c r="C49" i="7" s="1"/>
  <c r="C46" i="7"/>
  <c r="C13" i="7" s="1"/>
  <c r="D10" i="7"/>
  <c r="D34" i="7"/>
  <c r="D24" i="2"/>
  <c r="D29" i="2" s="1"/>
  <c r="D33" i="2" s="1"/>
  <c r="E24" i="2"/>
  <c r="E29" i="2" s="1"/>
  <c r="E33" i="2" s="1"/>
  <c r="E10" i="7"/>
  <c r="E4" i="2"/>
  <c r="E34" i="7"/>
  <c r="H23" i="6"/>
  <c r="H16" i="6"/>
  <c r="D4" i="2"/>
  <c r="K68" i="1"/>
  <c r="L68" i="1"/>
  <c r="J68" i="6" l="1"/>
  <c r="J67" i="6"/>
  <c r="C40" i="2"/>
  <c r="C39" i="2"/>
  <c r="E39" i="7"/>
  <c r="H52" i="6"/>
  <c r="D39" i="7"/>
  <c r="G52" i="6"/>
  <c r="E36" i="2"/>
  <c r="E14" i="2" s="1"/>
  <c r="E37" i="2"/>
  <c r="D37" i="2"/>
  <c r="D36" i="2"/>
  <c r="D14" i="2" s="1"/>
  <c r="C12" i="7"/>
  <c r="C50" i="7"/>
  <c r="D40" i="2" l="1"/>
  <c r="D39" i="2"/>
  <c r="E40" i="2"/>
  <c r="E39" i="2"/>
  <c r="D43" i="7"/>
  <c r="G57" i="6"/>
  <c r="E43" i="7"/>
  <c r="H57" i="6"/>
  <c r="G61" i="6" l="1"/>
  <c r="D46" i="7"/>
  <c r="D47" i="7"/>
  <c r="H61" i="6"/>
  <c r="E47" i="7"/>
  <c r="E46" i="7"/>
  <c r="H65" i="6" l="1"/>
  <c r="E49" i="7"/>
  <c r="H67" i="6" s="1"/>
  <c r="E50" i="7"/>
  <c r="H68" i="6" s="1"/>
  <c r="E12" i="7"/>
  <c r="G65" i="6"/>
  <c r="D49" i="7"/>
  <c r="G67" i="6" s="1"/>
  <c r="D50" i="7"/>
  <c r="G68" i="6" s="1"/>
  <c r="D12" i="7"/>
  <c r="E13" i="7"/>
  <c r="H64" i="6"/>
  <c r="D13" i="7"/>
  <c r="G64" i="6"/>
</calcChain>
</file>

<file path=xl/comments1.xml><?xml version="1.0" encoding="utf-8"?>
<comments xmlns="http://schemas.openxmlformats.org/spreadsheetml/2006/main">
  <authors>
    <author>oit-bilsa</author>
    <author>Kevin J Bernhardt</author>
  </authors>
  <commentList>
    <comment ref="E12" authorId="0" shapeId="0">
      <text>
        <r>
          <rPr>
            <b/>
            <sz val="9"/>
            <color indexed="81"/>
            <rFont val="Tahoma"/>
            <family val="2"/>
          </rPr>
          <t xml:space="preserve">Kevin Bernhardt
</t>
        </r>
        <r>
          <rPr>
            <sz val="9"/>
            <color indexed="81"/>
            <rFont val="Tahoma"/>
            <family val="2"/>
          </rPr>
          <t>The line numbers below correspond to line items on the Schedule F of the tax return.  Note, the line numbers change occasionally depending on the year so be sure that the title/description of the line item matches as well.</t>
        </r>
      </text>
    </comment>
    <comment ref="C14" authorId="0" shapeId="0">
      <text>
        <r>
          <rPr>
            <sz val="9"/>
            <color indexed="81"/>
            <rFont val="Tahoma"/>
            <family val="2"/>
          </rPr>
          <t>Sales revenue of livestock or other items purchased and then later resold.  Do not include breeding livestock here, that goes below.</t>
        </r>
      </text>
    </comment>
    <comment ref="C15" authorId="0" shapeId="0">
      <text>
        <r>
          <rPr>
            <sz val="9"/>
            <color indexed="81"/>
            <rFont val="Tahoma"/>
            <family val="2"/>
          </rPr>
          <t>Original cost or if depreciated then the adjusted basis.</t>
        </r>
      </text>
    </comment>
    <comment ref="B17" authorId="0" shapeId="0">
      <text>
        <r>
          <rPr>
            <sz val="9"/>
            <color indexed="81"/>
            <rFont val="Tahoma"/>
            <family val="2"/>
          </rPr>
          <t>Do not include raised or purchased breeding livestock here, it goes below in row titled "Sales of breeding livestock, raised &amp; purchased"</t>
        </r>
      </text>
    </comment>
    <comment ref="B24" authorId="0" shapeId="0">
      <text>
        <r>
          <rPr>
            <b/>
            <sz val="9"/>
            <color indexed="81"/>
            <rFont val="Tahoma"/>
            <family val="2"/>
          </rPr>
          <t>Raised breeding livestock gross sales is in part I of form 4797.  Purchased breeding livestock gross sales will be in part I if it was a loss and part III if it was a gain.</t>
        </r>
      </text>
    </comment>
    <comment ref="B25" authorId="0" shapeId="0">
      <text>
        <r>
          <rPr>
            <b/>
            <sz val="9"/>
            <color indexed="81"/>
            <rFont val="Tahoma"/>
            <family val="2"/>
          </rPr>
          <t xml:space="preserve">If known, enter the basis or undepreciated value of the purchased livestock sold.  If not known proxy it with 10% of value of sales.
</t>
        </r>
      </text>
    </comment>
    <comment ref="D27" authorId="1" shapeId="0">
      <text>
        <r>
          <rPr>
            <b/>
            <sz val="9"/>
            <color indexed="81"/>
            <rFont val="Tahoma"/>
            <family val="2"/>
          </rPr>
          <t>Kevin J Bernhardt:</t>
        </r>
        <r>
          <rPr>
            <sz val="9"/>
            <color indexed="81"/>
            <rFont val="Tahoma"/>
            <family val="2"/>
          </rPr>
          <t xml:space="preserve">
This will be different than the total revenue shown on the tax return due to the sales of breeding livestock.</t>
        </r>
      </text>
    </comment>
    <comment ref="C62" authorId="0" shapeId="0">
      <text>
        <r>
          <rPr>
            <sz val="9"/>
            <color indexed="81"/>
            <rFont val="Tahoma"/>
            <family val="2"/>
          </rPr>
          <t>Be sure to enter as a negative number if it is a loss.</t>
        </r>
      </text>
    </comment>
    <comment ref="D63" authorId="1" shapeId="0">
      <text>
        <r>
          <rPr>
            <sz val="9"/>
            <color indexed="81"/>
            <rFont val="Tahoma"/>
            <family val="2"/>
          </rPr>
          <t xml:space="preserve">Be sure to enter as a negative number if it is an expense.
</t>
        </r>
      </text>
    </comment>
  </commentList>
</comments>
</file>

<file path=xl/comments2.xml><?xml version="1.0" encoding="utf-8"?>
<comments xmlns="http://schemas.openxmlformats.org/spreadsheetml/2006/main">
  <authors>
    <author>oit-bilsa</author>
  </authors>
  <commentList>
    <comment ref="C10" authorId="0" shapeId="0">
      <text>
        <r>
          <rPr>
            <b/>
            <sz val="9"/>
            <color indexed="81"/>
            <rFont val="Tahoma"/>
            <family val="2"/>
          </rPr>
          <t>Kevin Bernhardt:</t>
        </r>
        <r>
          <rPr>
            <sz val="9"/>
            <color indexed="81"/>
            <rFont val="Tahoma"/>
            <family val="2"/>
          </rPr>
          <t xml:space="preserve">
Market inventory includes crops for sale, crops for feed, commercial feed, &amp; market livestock. </t>
        </r>
      </text>
    </comment>
    <comment ref="C21" authorId="0" shapeId="0">
      <text>
        <r>
          <rPr>
            <b/>
            <sz val="9"/>
            <color indexed="81"/>
            <rFont val="Tahoma"/>
            <family val="2"/>
          </rPr>
          <t>Portion to be received  beyond the current year.</t>
        </r>
      </text>
    </comment>
  </commentList>
</comments>
</file>

<file path=xl/comments3.xml><?xml version="1.0" encoding="utf-8"?>
<comments xmlns="http://schemas.openxmlformats.org/spreadsheetml/2006/main">
  <authors>
    <author>Kevin J Bernhardt</author>
  </authors>
  <commentList>
    <comment ref="B40" authorId="0" shapeId="0">
      <text>
        <r>
          <rPr>
            <b/>
            <sz val="9"/>
            <color indexed="81"/>
            <rFont val="Tahoma"/>
            <family val="2"/>
          </rPr>
          <t>Kevin J Bernhardt:</t>
        </r>
        <r>
          <rPr>
            <sz val="9"/>
            <color indexed="81"/>
            <rFont val="Tahoma"/>
            <family val="2"/>
          </rPr>
          <t xml:space="preserve">
If the margin is not greater than depreciation then depreciation is being used to pay debt service so-to-speak and at some point, if not reversed, capital replacement will become a problem.</t>
        </r>
      </text>
    </comment>
  </commentList>
</comments>
</file>

<file path=xl/comments4.xml><?xml version="1.0" encoding="utf-8"?>
<comments xmlns="http://schemas.openxmlformats.org/spreadsheetml/2006/main">
  <authors>
    <author>Kevin J Bernhardt</author>
  </authors>
  <commentList>
    <comment ref="B50" authorId="0" shapeId="0">
      <text>
        <r>
          <rPr>
            <b/>
            <sz val="9"/>
            <color indexed="81"/>
            <rFont val="Tahoma"/>
            <family val="2"/>
          </rPr>
          <t>Kevin J Bernhardt:</t>
        </r>
        <r>
          <rPr>
            <sz val="9"/>
            <color indexed="81"/>
            <rFont val="Tahoma"/>
            <family val="2"/>
          </rPr>
          <t xml:space="preserve">
If the margin is not greater than depreciation then depreciation is being used to pay debt service so-to-speak and at some point, if not reversed, capital replacement will become a problem.</t>
        </r>
      </text>
    </comment>
  </commentList>
</comments>
</file>

<file path=xl/comments5.xml><?xml version="1.0" encoding="utf-8"?>
<comments xmlns="http://schemas.openxmlformats.org/spreadsheetml/2006/main">
  <authors>
    <author>Kevin J Bernhardt</author>
  </authors>
  <commentList>
    <comment ref="B35" authorId="0" shapeId="0">
      <text>
        <r>
          <rPr>
            <b/>
            <sz val="9"/>
            <color indexed="81"/>
            <rFont val="Tahoma"/>
            <family val="2"/>
          </rPr>
          <t>Old NFIFO Ratio</t>
        </r>
      </text>
    </comment>
    <comment ref="B68" authorId="0" shapeId="0">
      <text>
        <r>
          <rPr>
            <b/>
            <sz val="9"/>
            <color indexed="81"/>
            <rFont val="Tahoma"/>
            <family val="2"/>
          </rPr>
          <t>Kevin J Bernhardt:</t>
        </r>
        <r>
          <rPr>
            <sz val="9"/>
            <color indexed="81"/>
            <rFont val="Tahoma"/>
            <family val="2"/>
          </rPr>
          <t xml:space="preserve">
If the margin is not greater than depreciation then depreciation is being used to pay debt service so-to-speak and at some point, if not reversed, capital replacement will become a problem.</t>
        </r>
      </text>
    </comment>
  </commentList>
</comments>
</file>

<file path=xl/sharedStrings.xml><?xml version="1.0" encoding="utf-8"?>
<sst xmlns="http://schemas.openxmlformats.org/spreadsheetml/2006/main" count="451" uniqueCount="337">
  <si>
    <t>Year:</t>
  </si>
  <si>
    <t>Farm Name:</t>
  </si>
  <si>
    <t>Number of milking cows:</t>
  </si>
  <si>
    <t>Actual CWT sold for herd:</t>
  </si>
  <si>
    <t>CWTEQ sold for herd:</t>
  </si>
  <si>
    <t>Crop Acres</t>
  </si>
  <si>
    <t>lbs of milk production per cow</t>
  </si>
  <si>
    <t>Avg Milk Price Received</t>
  </si>
  <si>
    <t>REVENUE</t>
  </si>
  <si>
    <t>sched 
F</t>
  </si>
  <si>
    <t>Resale Items (items purchased then sold)</t>
  </si>
  <si>
    <t>Sale of purch lvstk &amp; other resale items</t>
  </si>
  <si>
    <t>1a</t>
  </si>
  <si>
    <t xml:space="preserve">   less cost (basis) of resale items</t>
  </si>
  <si>
    <t>1b</t>
  </si>
  <si>
    <t>Revenue from resale items</t>
  </si>
  <si>
    <t>1c</t>
  </si>
  <si>
    <t>Sales of livestock, grains, &amp; other raised products</t>
  </si>
  <si>
    <t xml:space="preserve">Cooperative distributions </t>
  </si>
  <si>
    <t>3b</t>
  </si>
  <si>
    <t>Agricultural program payments</t>
  </si>
  <si>
    <t>4b</t>
  </si>
  <si>
    <r>
      <t xml:space="preserve">Commodity Credit Corp loans </t>
    </r>
    <r>
      <rPr>
        <sz val="10"/>
        <color theme="1"/>
        <rFont val="Calibri"/>
        <family val="2"/>
        <scheme val="minor"/>
      </rPr>
      <t>reported under election</t>
    </r>
  </si>
  <si>
    <t>5a</t>
  </si>
  <si>
    <t>CCC loans forfeited</t>
  </si>
  <si>
    <t>5c</t>
  </si>
  <si>
    <t>Crop insurance proceeds/disaster pmts received</t>
  </si>
  <si>
    <t>6b</t>
  </si>
  <si>
    <t>Custom work</t>
  </si>
  <si>
    <r>
      <t xml:space="preserve">     Less basis of purchased breeding lvstk sold (ne</t>
    </r>
    <r>
      <rPr>
        <sz val="9"/>
        <color theme="1"/>
        <rFont val="Calibri"/>
        <family val="2"/>
        <scheme val="minor"/>
      </rPr>
      <t>g #)</t>
    </r>
  </si>
  <si>
    <t>Total Cash Revenue</t>
  </si>
  <si>
    <t>EXPENSES</t>
  </si>
  <si>
    <t>Operating Expenses</t>
  </si>
  <si>
    <t>Car and truck expenses</t>
  </si>
  <si>
    <t>Chemicals</t>
  </si>
  <si>
    <t>Conservation expenses</t>
  </si>
  <si>
    <t>Purchased feed</t>
  </si>
  <si>
    <t>Fertilizers and lime</t>
  </si>
  <si>
    <t>Freight &amp; trucking</t>
  </si>
  <si>
    <t>Gasoline, fuel and oil</t>
  </si>
  <si>
    <t>Insurance (other than health)</t>
  </si>
  <si>
    <t>Rent/lease (vehicles, machinery, equipment)</t>
  </si>
  <si>
    <t>24a</t>
  </si>
  <si>
    <t>Rent/lease (land, animals, etc.)</t>
  </si>
  <si>
    <t>24b</t>
  </si>
  <si>
    <t>Repairs and maintenance</t>
  </si>
  <si>
    <t>Seeds and plants</t>
  </si>
  <si>
    <t>Storage and warehousing</t>
  </si>
  <si>
    <t>Supplies</t>
  </si>
  <si>
    <t>Taxes (RE and personal property)</t>
  </si>
  <si>
    <t>Utilities</t>
  </si>
  <si>
    <t>Veterinary, breeding, and medicine</t>
  </si>
  <si>
    <t>Bedding, if separate from another category</t>
  </si>
  <si>
    <t>Custom heifer raising, if separate</t>
  </si>
  <si>
    <t>Other</t>
  </si>
  <si>
    <t>32a</t>
  </si>
  <si>
    <t>32b</t>
  </si>
  <si>
    <t>32c-f</t>
  </si>
  <si>
    <r>
      <t xml:space="preserve">Total </t>
    </r>
    <r>
      <rPr>
        <b/>
        <u/>
        <sz val="11"/>
        <color theme="1"/>
        <rFont val="Calibri"/>
        <family val="2"/>
        <scheme val="minor"/>
      </rPr>
      <t>Cash</t>
    </r>
    <r>
      <rPr>
        <b/>
        <sz val="11"/>
        <color theme="1"/>
        <rFont val="Calibri"/>
        <family val="2"/>
        <scheme val="minor"/>
      </rPr>
      <t xml:space="preserve"> Operating Expenses </t>
    </r>
    <r>
      <rPr>
        <b/>
        <sz val="9"/>
        <color theme="1"/>
        <rFont val="Calibri"/>
        <family val="2"/>
        <scheme val="minor"/>
      </rPr>
      <t>(before depr &amp; interest)</t>
    </r>
  </si>
  <si>
    <r>
      <t xml:space="preserve">Total Operating Expenses </t>
    </r>
    <r>
      <rPr>
        <b/>
        <sz val="9"/>
        <color theme="1"/>
        <rFont val="Calibri"/>
        <family val="2"/>
        <scheme val="minor"/>
      </rPr>
      <t>(after depr, before interest)</t>
    </r>
  </si>
  <si>
    <t>PROFIT/LOSS</t>
  </si>
  <si>
    <t>Gain (Loss) on Capital Asset Sales</t>
  </si>
  <si>
    <t>Other non-operating farm income or (expenses)</t>
  </si>
  <si>
    <t>Other income</t>
  </si>
  <si>
    <t>Interest Expenses</t>
  </si>
  <si>
    <t>Income From Operations, Cash</t>
  </si>
  <si>
    <t>Working Capital:Total Revenue Ratio</t>
  </si>
  <si>
    <t>Return on Assets Ratio</t>
  </si>
  <si>
    <t>Asset Turnover Ratio</t>
  </si>
  <si>
    <t>Operating Profit Margin Ratio</t>
  </si>
  <si>
    <t>Debt:Asset Ratio</t>
  </si>
  <si>
    <t>Operating Expense Ratio</t>
  </si>
  <si>
    <t>Depreciation Expense Ratio</t>
  </si>
  <si>
    <t>Interest Expense Ratio</t>
  </si>
  <si>
    <t>End of Year</t>
  </si>
  <si>
    <t>Date:</t>
  </si>
  <si>
    <t>ASSETS</t>
  </si>
  <si>
    <t>Market</t>
  </si>
  <si>
    <t>Current Assets (CA)</t>
  </si>
  <si>
    <t>Cash (checking &amp; savings accts)</t>
  </si>
  <si>
    <t>Total Current Assets</t>
  </si>
  <si>
    <t>Non-Current Assets (NCA)</t>
  </si>
  <si>
    <t>Total Non-Current Assets</t>
  </si>
  <si>
    <t>TOTAL ASSETS</t>
  </si>
  <si>
    <t>LIABILITIES</t>
  </si>
  <si>
    <t>Current Liabilities (CL)</t>
  </si>
  <si>
    <t>Income taxes payable</t>
  </si>
  <si>
    <t>Total Current Liabilities</t>
  </si>
  <si>
    <t>Non-Current Liabilities (NCL)</t>
  </si>
  <si>
    <t>Total Non-Current Liabilities</t>
  </si>
  <si>
    <t>TOTAL LIABILITIES</t>
  </si>
  <si>
    <t>OWNER EQUITY</t>
  </si>
  <si>
    <t>TOTAL OWNER EQUITY</t>
  </si>
  <si>
    <t>Other Questions</t>
  </si>
  <si>
    <t>Repayment Analysis</t>
  </si>
  <si>
    <t>Net Farm Income (NFI)</t>
  </si>
  <si>
    <t>Plus:  Non-farm income</t>
  </si>
  <si>
    <t>Plus:  Depreciation</t>
  </si>
  <si>
    <t>Plus:  Cash Interest</t>
  </si>
  <si>
    <t>Minus: Gain (Loss) on Capital Asset Sales</t>
  </si>
  <si>
    <r>
      <t>Available Earnings</t>
    </r>
    <r>
      <rPr>
        <b/>
        <vertAlign val="superscript"/>
        <sz val="11"/>
        <color theme="1"/>
        <rFont val="Calibri"/>
        <family val="2"/>
        <scheme val="minor"/>
      </rPr>
      <t>1</t>
    </r>
  </si>
  <si>
    <t>Minus:  Non-farm expenses</t>
  </si>
  <si>
    <t>Minus:  Family living withdrawal</t>
  </si>
  <si>
    <t>Minus:  Income taxes</t>
  </si>
  <si>
    <r>
      <t>Net Cash Available</t>
    </r>
    <r>
      <rPr>
        <b/>
        <vertAlign val="superscript"/>
        <sz val="11"/>
        <color theme="1"/>
        <rFont val="Calibri"/>
        <family val="2"/>
        <scheme val="minor"/>
      </rPr>
      <t>2</t>
    </r>
  </si>
  <si>
    <t>Earnings available for family living, income taxes, interest and principal payments, new investment, and capital replacement</t>
  </si>
  <si>
    <t>Weak</t>
  </si>
  <si>
    <t xml:space="preserve">Watch </t>
  </si>
  <si>
    <t>Strong</t>
  </si>
  <si>
    <t>&lt;125%</t>
  </si>
  <si>
    <t>125%-175%</t>
  </si>
  <si>
    <t>&gt;175%</t>
  </si>
  <si>
    <t>If the margin is not greater than depreciation then depreciation is being used to pay debt service so-to-speak and at some point, if not reversed, capital replacement will become a problem.</t>
  </si>
  <si>
    <t>Notes:</t>
  </si>
  <si>
    <t>Net cash available for debt service and capital replacement</t>
  </si>
  <si>
    <t>Net Farm Income</t>
  </si>
  <si>
    <t>Net Farm Income, Cash</t>
  </si>
  <si>
    <t>Net Income After Tax (incl non-farm)</t>
  </si>
  <si>
    <t>&lt;10%</t>
  </si>
  <si>
    <t>10%-30%</t>
  </si>
  <si>
    <t>&gt;30%</t>
  </si>
  <si>
    <t>&gt;60%</t>
  </si>
  <si>
    <t>30%-60%</t>
  </si>
  <si>
    <t>&lt;30%</t>
  </si>
  <si>
    <t>&lt;4%</t>
  </si>
  <si>
    <t>4%-8%</t>
  </si>
  <si>
    <t>&gt;8%</t>
  </si>
  <si>
    <t>30%-45%</t>
  </si>
  <si>
    <t>&gt;45%</t>
  </si>
  <si>
    <t>&lt;15%</t>
  </si>
  <si>
    <t>15%-25%</t>
  </si>
  <si>
    <t>&gt;25%</t>
  </si>
  <si>
    <t>&gt;80%</t>
  </si>
  <si>
    <t>60%-80%</t>
  </si>
  <si>
    <t>&lt;60%</t>
  </si>
  <si>
    <t>&gt;10%</t>
  </si>
  <si>
    <t>5%-10%</t>
  </si>
  <si>
    <t>&lt;5%</t>
  </si>
  <si>
    <t>Debt:Asset</t>
  </si>
  <si>
    <t>&lt;3%</t>
  </si>
  <si>
    <t>3%-10%</t>
  </si>
  <si>
    <t>&gt;50%</t>
  </si>
  <si>
    <t>&lt;20%</t>
  </si>
  <si>
    <t xml:space="preserve"> =</t>
  </si>
  <si>
    <t>Estimate of Unpaid Labor and Management</t>
  </si>
  <si>
    <t>Term Debt &amp; Lease Coverage ratio 
(line 10/(line 11+line 12)</t>
  </si>
  <si>
    <t>Debt Coverage Ratio (see table below)</t>
  </si>
  <si>
    <t>3 Yr Avg</t>
  </si>
  <si>
    <t>5 Yr Avg</t>
  </si>
  <si>
    <t>Return on Equity Ratio</t>
  </si>
  <si>
    <t>Income from Operations (after depr, before int.)</t>
  </si>
  <si>
    <t>Ratio Scorecard</t>
  </si>
  <si>
    <t>Score Card</t>
  </si>
  <si>
    <t>3 Year Average</t>
  </si>
  <si>
    <t>Liquidity</t>
  </si>
  <si>
    <t>1.</t>
  </si>
  <si>
    <t>Current Ratio</t>
  </si>
  <si>
    <t>&lt;1.3</t>
  </si>
  <si>
    <t>1.3-2.0</t>
  </si>
  <si>
    <t>&gt;2.0</t>
  </si>
  <si>
    <t>2.</t>
  </si>
  <si>
    <t>Working Capital</t>
  </si>
  <si>
    <t>3.</t>
  </si>
  <si>
    <t>Working Capital:Gross Revenue</t>
  </si>
  <si>
    <t>Working Capital:Total Cash Exp</t>
  </si>
  <si>
    <t>20%-50%</t>
  </si>
  <si>
    <t>Solvency</t>
  </si>
  <si>
    <t>4.</t>
  </si>
  <si>
    <t>5.</t>
  </si>
  <si>
    <t>Equity:Asset</t>
  </si>
  <si>
    <t>&lt;40%</t>
  </si>
  <si>
    <t>40%-70%</t>
  </si>
  <si>
    <t>&gt;70%</t>
  </si>
  <si>
    <t>6.</t>
  </si>
  <si>
    <t>Debt:Equity</t>
  </si>
  <si>
    <t>&gt;1.5</t>
  </si>
  <si>
    <t>.43-1.5</t>
  </si>
  <si>
    <t>&lt;.43</t>
  </si>
  <si>
    <t>Profitability</t>
  </si>
  <si>
    <t>Net Farm Income From Operations</t>
  </si>
  <si>
    <t>Income From Operations</t>
  </si>
  <si>
    <t>7.</t>
  </si>
  <si>
    <t>8.</t>
  </si>
  <si>
    <r>
      <t>Rate of Return on Assets</t>
    </r>
    <r>
      <rPr>
        <vertAlign val="superscript"/>
        <sz val="12"/>
        <color theme="1"/>
        <rFont val="Calibri"/>
        <family val="2"/>
        <scheme val="minor"/>
      </rPr>
      <t>1,2</t>
    </r>
    <r>
      <rPr>
        <sz val="12"/>
        <color theme="1"/>
        <rFont val="Calibri"/>
        <family val="2"/>
        <scheme val="minor"/>
      </rPr>
      <t xml:space="preserve"> </t>
    </r>
  </si>
  <si>
    <t>9.</t>
  </si>
  <si>
    <r>
      <t>Rate of Return on Equity</t>
    </r>
    <r>
      <rPr>
        <vertAlign val="superscript"/>
        <sz val="12"/>
        <color theme="1"/>
        <rFont val="Calibri"/>
        <family val="2"/>
        <scheme val="minor"/>
      </rPr>
      <t>1</t>
    </r>
    <r>
      <rPr>
        <sz val="12"/>
        <color theme="1"/>
        <rFont val="Calibri"/>
        <family val="2"/>
        <scheme val="minor"/>
      </rPr>
      <t xml:space="preserve"> </t>
    </r>
  </si>
  <si>
    <t>10.</t>
  </si>
  <si>
    <r>
      <t>Operating Profit Margin</t>
    </r>
    <r>
      <rPr>
        <vertAlign val="superscript"/>
        <sz val="12"/>
        <color theme="1"/>
        <rFont val="Calibri"/>
        <family val="2"/>
        <scheme val="minor"/>
      </rPr>
      <t>1</t>
    </r>
  </si>
  <si>
    <t>11.</t>
  </si>
  <si>
    <t>EBITDA</t>
  </si>
  <si>
    <t>Question:  Is ROROE &gt; ROROA?</t>
  </si>
  <si>
    <t>Yes=good, No=problem</t>
  </si>
  <si>
    <t>Repayment Capacity</t>
  </si>
  <si>
    <t>12.</t>
  </si>
  <si>
    <t>Capital Debt Repayment Capacity</t>
  </si>
  <si>
    <t>13.</t>
  </si>
  <si>
    <t>Capital Debt Repayment Margin</t>
  </si>
  <si>
    <t>14.</t>
  </si>
  <si>
    <t>Replacement Margin</t>
  </si>
  <si>
    <t>15.</t>
  </si>
  <si>
    <t>Term-Debt Coverage Ratio</t>
  </si>
  <si>
    <t>&lt;1.25</t>
  </si>
  <si>
    <t>1.25-1.75</t>
  </si>
  <si>
    <t>&gt;1.75</t>
  </si>
  <si>
    <t>16.</t>
  </si>
  <si>
    <t>Repl Margin Coverage Ratio</t>
  </si>
  <si>
    <t>&lt;1.10</t>
  </si>
  <si>
    <t>1.10-1.50</t>
  </si>
  <si>
    <t>&gt;1.50</t>
  </si>
  <si>
    <t>Financial Efficiency</t>
  </si>
  <si>
    <t>17.</t>
  </si>
  <si>
    <r>
      <t xml:space="preserve">Asset Turnover Ratio </t>
    </r>
    <r>
      <rPr>
        <sz val="8"/>
        <color theme="1"/>
        <rFont val="Calibri"/>
        <family val="2"/>
        <scheme val="minor"/>
      </rPr>
      <t>(&gt; 40% dairy)</t>
    </r>
  </si>
  <si>
    <t>18.</t>
  </si>
  <si>
    <r>
      <t>Operating Expense Ratio</t>
    </r>
    <r>
      <rPr>
        <vertAlign val="superscript"/>
        <sz val="12"/>
        <color theme="1"/>
        <rFont val="Calibri"/>
        <family val="2"/>
        <scheme val="minor"/>
      </rPr>
      <t>3</t>
    </r>
  </si>
  <si>
    <r>
      <t>Basic Cost Ratio</t>
    </r>
    <r>
      <rPr>
        <vertAlign val="superscript"/>
        <sz val="12"/>
        <color theme="1"/>
        <rFont val="Calibri"/>
        <family val="2"/>
        <scheme val="minor"/>
      </rPr>
      <t>4</t>
    </r>
  </si>
  <si>
    <r>
      <t>Wages Paid Ratio</t>
    </r>
    <r>
      <rPr>
        <vertAlign val="superscript"/>
        <sz val="12"/>
        <color theme="1"/>
        <rFont val="Calibri"/>
        <family val="2"/>
        <scheme val="minor"/>
      </rPr>
      <t>5</t>
    </r>
  </si>
  <si>
    <t>19.</t>
  </si>
  <si>
    <t>20.</t>
  </si>
  <si>
    <t>21.</t>
  </si>
  <si>
    <t>Income From Operations -Interest</t>
  </si>
  <si>
    <t>10%-20%</t>
  </si>
  <si>
    <t>&gt;20%</t>
  </si>
  <si>
    <t>2</t>
  </si>
  <si>
    <t>If assets are mostly owned then strong is &gt; 5%.  If mostly rented strong is &gt; 12%.  Another benchmark for ROROA is that it should be higher than the rate of inflation and interest rate.</t>
  </si>
  <si>
    <t>3</t>
  </si>
  <si>
    <t>4</t>
  </si>
  <si>
    <t>5</t>
  </si>
  <si>
    <t>5 Year Average</t>
  </si>
  <si>
    <r>
      <t>Info From Tax Return and Current Balance Sheet</t>
    </r>
    <r>
      <rPr>
        <vertAlign val="superscript"/>
        <sz val="14"/>
        <color theme="1"/>
        <rFont val="Calibri"/>
        <family val="2"/>
        <scheme val="minor"/>
      </rPr>
      <t>1</t>
    </r>
  </si>
  <si>
    <t>What is your average interest rate on debt?</t>
  </si>
  <si>
    <t>Capital Debt Repayment Capacity - Net cash available for debt service and capital replacement</t>
  </si>
  <si>
    <t>Based on estimate of Unpaid Labor and Management</t>
  </si>
  <si>
    <t>Based on principal payment due in the next 12 months on the balance sheet</t>
  </si>
  <si>
    <t>Based on an estimate of average inerest rate times total debt (term and operating)</t>
  </si>
  <si>
    <t>Liquidity (Current Ratio)</t>
  </si>
  <si>
    <t>Solvency (Debt:Asset Ratio)</t>
  </si>
  <si>
    <t>Percent Equity (Equity/Assets)</t>
  </si>
  <si>
    <t>Debt per cow</t>
  </si>
  <si>
    <t>$3,000-$5,000</t>
  </si>
  <si>
    <t>Term Debt Repayment Margin (line 10 - line 11 - line 12)</t>
  </si>
  <si>
    <t>Principal and Interest Payments per Day</t>
  </si>
  <si>
    <t>Principal and Interest Payments per CWT Milk</t>
  </si>
  <si>
    <t>less than 20%</t>
  </si>
  <si>
    <t>Balance Sheet</t>
  </si>
  <si>
    <t>Breakeven</t>
  </si>
  <si>
    <t>Owner Equity</t>
  </si>
  <si>
    <r>
      <t>Scheduled principal payments due next 12 mos.</t>
    </r>
    <r>
      <rPr>
        <vertAlign val="superscript"/>
        <sz val="11"/>
        <color theme="1"/>
        <rFont val="Calibri"/>
        <family val="2"/>
        <scheme val="minor"/>
      </rPr>
      <t>3</t>
    </r>
  </si>
  <si>
    <r>
      <t>Scheduled interest payments due next 12 mos.</t>
    </r>
    <r>
      <rPr>
        <vertAlign val="superscript"/>
        <sz val="11"/>
        <color theme="1"/>
        <rFont val="Calibri"/>
        <family val="2"/>
        <scheme val="minor"/>
      </rPr>
      <t>3</t>
    </r>
  </si>
  <si>
    <r>
      <t>Is Capital Repl. Margin &gt; Depreciation  (Yes   No)</t>
    </r>
    <r>
      <rPr>
        <vertAlign val="superscript"/>
        <sz val="11"/>
        <color theme="1"/>
        <rFont val="Calibri"/>
        <family val="2"/>
        <scheme val="minor"/>
      </rPr>
      <t>4</t>
    </r>
  </si>
  <si>
    <t>If the margin is not greater than estimated needs for capital replacement (not financed) then depreciation is being used to pay debt service so-to-speak and at some point, if not reversed, capital replacement will become a challenge.</t>
  </si>
  <si>
    <t>Principal and Interest Payments are based on the values showing on the 2016 Balance Sheet.</t>
  </si>
  <si>
    <r>
      <t>Estimated Capital Replacement</t>
    </r>
    <r>
      <rPr>
        <vertAlign val="superscript"/>
        <sz val="11"/>
        <color theme="1"/>
        <rFont val="Calibri"/>
        <family val="2"/>
        <scheme val="minor"/>
      </rPr>
      <t>3</t>
    </r>
  </si>
  <si>
    <t>Debt Service Coverage Margin</t>
  </si>
  <si>
    <r>
      <rPr>
        <vertAlign val="superscript"/>
        <sz val="11"/>
        <color theme="1"/>
        <rFont val="Times New Roman"/>
        <family val="1"/>
      </rPr>
      <t xml:space="preserve"> 1</t>
    </r>
    <r>
      <rPr>
        <sz val="11"/>
        <color theme="1"/>
        <rFont val="Times New Roman"/>
        <family val="1"/>
      </rPr>
      <t xml:space="preserve">  Any calculation that requires a balance sheet value uses the value from the most recent balance sheet, which may or may not 
    accurately reflect the 3 or 5 year average.</t>
    </r>
  </si>
  <si>
    <r>
      <rPr>
        <vertAlign val="superscript"/>
        <sz val="11"/>
        <color theme="1"/>
        <rFont val="Calibri"/>
        <family val="2"/>
        <scheme val="minor"/>
      </rPr>
      <t xml:space="preserve"> 1</t>
    </r>
    <r>
      <rPr>
        <sz val="11"/>
        <color theme="1"/>
        <rFont val="Calibri"/>
        <family val="2"/>
        <scheme val="minor"/>
      </rPr>
      <t xml:space="preserve">  Any calculation that requires a balance sheet value uses the value from the most recent balance sheet, which may or may not 
    accurately reflect the 3 or 5 year average.</t>
    </r>
  </si>
  <si>
    <r>
      <t>Breakeven Total Cost of Production</t>
    </r>
    <r>
      <rPr>
        <vertAlign val="superscript"/>
        <sz val="11"/>
        <color theme="1"/>
        <rFont val="Calibri"/>
        <family val="2"/>
        <scheme val="minor"/>
      </rPr>
      <t xml:space="preserve">2 </t>
    </r>
    <r>
      <rPr>
        <sz val="11"/>
        <color theme="1"/>
        <rFont val="Calibri"/>
        <family val="2"/>
        <scheme val="minor"/>
      </rPr>
      <t>(using cwteq)</t>
    </r>
    <r>
      <rPr>
        <vertAlign val="superscript"/>
        <sz val="11"/>
        <color theme="1"/>
        <rFont val="Calibri"/>
        <family val="2"/>
        <scheme val="minor"/>
      </rPr>
      <t>3</t>
    </r>
  </si>
  <si>
    <r>
      <t xml:space="preserve"> </t>
    </r>
    <r>
      <rPr>
        <vertAlign val="superscript"/>
        <sz val="11"/>
        <color theme="1"/>
        <rFont val="Calibri"/>
        <family val="2"/>
        <scheme val="minor"/>
      </rPr>
      <t xml:space="preserve">3 </t>
    </r>
    <r>
      <rPr>
        <sz val="11"/>
        <color theme="1"/>
        <rFont val="Calibri"/>
        <family val="2"/>
        <scheme val="minor"/>
      </rPr>
      <t xml:space="preserve"> CWTEQ is a conversion that takes non dairy income and expenses into account in calculating a breakeven based on the dairy 
    operation only.</t>
    </r>
  </si>
  <si>
    <t>Milk Sales</t>
  </si>
  <si>
    <t>Year 1</t>
  </si>
  <si>
    <t>Year 2</t>
  </si>
  <si>
    <t>Year 3</t>
  </si>
  <si>
    <t>Year 4</t>
  </si>
  <si>
    <t>Year 5</t>
  </si>
  <si>
    <t>Sales of breeding livestock, raised &amp; purchased (culls)</t>
  </si>
  <si>
    <t>Depreciation</t>
  </si>
  <si>
    <t xml:space="preserve">Income Taxes </t>
  </si>
  <si>
    <t xml:space="preserve">Non-Farm Expenses </t>
  </si>
  <si>
    <t>Non-Farm Income</t>
  </si>
  <si>
    <t>Current Balance Sheet
(user input in shaded cells if applicable)</t>
  </si>
  <si>
    <r>
      <t>Marketable securities</t>
    </r>
    <r>
      <rPr>
        <sz val="9"/>
        <color theme="1"/>
        <rFont val="Calibri"/>
        <family val="2"/>
        <scheme val="minor"/>
      </rPr>
      <t xml:space="preserve"> </t>
    </r>
  </si>
  <si>
    <t xml:space="preserve">Accts, notes, contracts rec </t>
  </si>
  <si>
    <t xml:space="preserve">Accrued interest earned </t>
  </si>
  <si>
    <t xml:space="preserve">Market inventory </t>
  </si>
  <si>
    <t xml:space="preserve">Other current assets </t>
  </si>
  <si>
    <t xml:space="preserve">Raised breeding livestock </t>
  </si>
  <si>
    <t xml:space="preserve">Machinery and Equipment </t>
  </si>
  <si>
    <t xml:space="preserve">Other non-current assets </t>
  </si>
  <si>
    <r>
      <t xml:space="preserve">Operating loans </t>
    </r>
    <r>
      <rPr>
        <sz val="9"/>
        <color theme="1"/>
        <rFont val="Calibri"/>
        <family val="2"/>
        <scheme val="minor"/>
      </rPr>
      <t xml:space="preserve">&amp; other non-term </t>
    </r>
  </si>
  <si>
    <r>
      <t xml:space="preserve">Accrued interest due, </t>
    </r>
    <r>
      <rPr>
        <sz val="9"/>
        <color theme="1"/>
        <rFont val="Calibri"/>
        <family val="2"/>
        <scheme val="minor"/>
      </rPr>
      <t>non-term</t>
    </r>
    <r>
      <rPr>
        <sz val="11"/>
        <color theme="1"/>
        <rFont val="Calibri"/>
        <family val="2"/>
        <scheme val="minor"/>
      </rPr>
      <t xml:space="preserve"> </t>
    </r>
  </si>
  <si>
    <r>
      <t xml:space="preserve">Accrued interest due, </t>
    </r>
    <r>
      <rPr>
        <sz val="10"/>
        <color theme="1"/>
        <rFont val="Calibri"/>
        <family val="2"/>
        <scheme val="minor"/>
      </rPr>
      <t>term</t>
    </r>
    <r>
      <rPr>
        <sz val="11"/>
        <color theme="1"/>
        <rFont val="Calibri"/>
        <family val="2"/>
        <scheme val="minor"/>
      </rPr>
      <t xml:space="preserve"> </t>
    </r>
  </si>
  <si>
    <t xml:space="preserve">Accrued expenses/liability </t>
  </si>
  <si>
    <t xml:space="preserve">Other current liabilities </t>
  </si>
  <si>
    <t xml:space="preserve">Term loan balances </t>
  </si>
  <si>
    <t xml:space="preserve"> +</t>
  </si>
  <si>
    <t xml:space="preserve"> -</t>
  </si>
  <si>
    <t>Amount paid in salary to owners:</t>
  </si>
  <si>
    <t>It is common on many farms that the owners are not paid a salary to compensate them for either their labor or their management.  What value would you give the amount of unpaid labor you gave to the farm this past year and the value of your management this past year?  Below is a worksheet to estimate unpaid labor &amp; mgt.</t>
  </si>
  <si>
    <r>
      <rPr>
        <u/>
        <sz val="11"/>
        <color theme="1"/>
        <rFont val="Calibri"/>
        <family val="2"/>
        <scheme val="minor"/>
      </rPr>
      <t>Your</t>
    </r>
    <r>
      <rPr>
        <sz val="11"/>
        <color theme="1"/>
        <rFont val="Calibri"/>
        <family val="2"/>
        <scheme val="minor"/>
      </rPr>
      <t xml:space="preserve"> Estimate of Unpaid Labor and Management:</t>
    </r>
  </si>
  <si>
    <r>
      <t>Breakeven Total Cost of Production</t>
    </r>
    <r>
      <rPr>
        <vertAlign val="superscript"/>
        <sz val="11"/>
        <color theme="1"/>
        <rFont val="Calibri"/>
        <family val="2"/>
        <scheme val="minor"/>
      </rPr>
      <t xml:space="preserve">2 </t>
    </r>
    <r>
      <rPr>
        <sz val="11"/>
        <color theme="1"/>
        <rFont val="Calibri"/>
        <family val="2"/>
        <scheme val="minor"/>
      </rPr>
      <t>per cwt</t>
    </r>
  </si>
  <si>
    <t>line 14 - line 15</t>
  </si>
  <si>
    <t>Sched F lines 15,22,23</t>
  </si>
  <si>
    <t>Based on most current Tax Return and Bal. Sht. Only</t>
  </si>
  <si>
    <r>
      <t>Based on recent 3 Year Avg of Tax Returns and current Bal. Sht.</t>
    </r>
    <r>
      <rPr>
        <vertAlign val="superscript"/>
        <sz val="11"/>
        <color theme="1"/>
        <rFont val="Calibri"/>
        <family val="2"/>
        <scheme val="minor"/>
      </rPr>
      <t>1</t>
    </r>
  </si>
  <si>
    <r>
      <t>Based on 5 Year Avg of Tax Returns and current Bal. Sht.</t>
    </r>
    <r>
      <rPr>
        <vertAlign val="superscript"/>
        <sz val="11"/>
        <color theme="1"/>
        <rFont val="Calibri"/>
        <family val="2"/>
        <scheme val="minor"/>
      </rPr>
      <t>1</t>
    </r>
  </si>
  <si>
    <t>1</t>
  </si>
  <si>
    <r>
      <rPr>
        <vertAlign val="superscript"/>
        <sz val="12"/>
        <color theme="1"/>
        <rFont val="Calibri"/>
        <family val="2"/>
        <scheme val="minor"/>
      </rPr>
      <t xml:space="preserve"> </t>
    </r>
    <r>
      <rPr>
        <sz val="12"/>
        <color theme="1"/>
        <rFont val="Calibri"/>
        <family val="2"/>
        <scheme val="minor"/>
      </rPr>
      <t>Also includes estimate of Unpaid Labor and Management</t>
    </r>
  </si>
  <si>
    <t xml:space="preserve">Operating expenses are "Total Cash Operating Expenses" (before depreciation and interest) .  Less than 80% is cause for concern, but if manangement salaries are included then ratios may be 10% higher, or a 90% "red" benchmark. </t>
  </si>
  <si>
    <t xml:space="preserve">"Basic Costs" is terminology used by the Center for Dairy Profitability.  It is all operating costs except depreciation, interest, and labor.  </t>
  </si>
  <si>
    <t xml:space="preserve">Wages paid ratio considers hired labor (and corresponding cash benefits).  </t>
  </si>
  <si>
    <t>Replacement Margin (line 14 - line 15)</t>
  </si>
  <si>
    <r>
      <t>Estimated Capital Replacement</t>
    </r>
    <r>
      <rPr>
        <vertAlign val="superscript"/>
        <sz val="11"/>
        <color theme="1"/>
        <rFont val="Calibri"/>
        <family val="2"/>
        <scheme val="minor"/>
      </rPr>
      <t>4</t>
    </r>
  </si>
  <si>
    <r>
      <t>Is Capital Repl. Margin &gt; Depreciation  (Yes   No)</t>
    </r>
    <r>
      <rPr>
        <vertAlign val="superscript"/>
        <sz val="11"/>
        <color theme="1"/>
        <rFont val="Calibri"/>
        <family val="2"/>
        <scheme val="minor"/>
      </rPr>
      <t>5</t>
    </r>
  </si>
  <si>
    <t>Machinery, equipment, and building improvement replacement costs are estimated by multiplying depreciation by percent of non-current assets that are not financed (1-(NCL/(NCA-Raised brd lvstk))).</t>
  </si>
  <si>
    <t>Financial analysis, and the financial story it tells, is most accurate when records, management reports, and ratios are in accordance with the Farm Financial Standard Council (FFSC) guidelines. This includes appropriate valuing of balance sheet items, balance sheets on the same date each year, economic depreciation, and accrual adjustments to cash income.  However, the real world is not as nice as the textbook!  Many farms may not have this level of detail and/or accuracy.  In that case, what is the next best thing?</t>
  </si>
  <si>
    <t xml:space="preserve">However, as stated, the real world is not the textbook and while all farm businesses have tax information, they may not have any balance sheets or they may not be accurately done.  An inaccurate balance sheet may be more harmful in analysis than no balance sheet at all!  </t>
  </si>
  <si>
    <t xml:space="preserve">Note, that anytime a ratio requires a balance sheet number, the one used is based on the current balance sheet only.  So, even if the ratio is a 3-year or 5-year average, the balance sheet number is based on the current balance sheet not a 3 or 5 year average.  This is not ideal, but it is all that may be available.  Any additional knowledge of past total assets or other balance sheet information may improve the result, but only as good as the "guesses" made. </t>
  </si>
  <si>
    <r>
      <t xml:space="preserve">Estimate of Financial Performance Using 3 and 5 Year Averages
From Tax Return and Current Balance Sheet Information
</t>
    </r>
    <r>
      <rPr>
        <b/>
        <sz val="12"/>
        <color theme="1"/>
        <rFont val="Calibri"/>
        <family val="2"/>
        <scheme val="minor"/>
      </rPr>
      <t>by Kevin Bernhardt
UW-Extension and Center for Dairy Profitability
September 2017</t>
    </r>
  </si>
  <si>
    <t>Cash accounting offers the ability to lower taxable income by either building inventories, depleting inventories, and using accelerated depreciation.  However, these manipulations wash out over time.  For example, holding cash income back this year by not selling corn (building inventory of corn) eventually is offset by selling corn in inventory in a later year (too little of income reported in one year canceled out by too much income in another year).  Thus, an average over time of cash earnings reflects a more true picture of the financial story of the business.  It does not say much about a particular year, but does provide a more accurate long-term view.  Note, due to the volatility of agriculture, one should not focus too much on a single year even if you have accrual adjusted statements.</t>
  </si>
  <si>
    <t>Instructions:</t>
  </si>
  <si>
    <t xml:space="preserve"> - Also on the "Balance Sheet" tab complete an estimate of unpaid labor and management and an 
   estimate of average interest rate paid on debt capital.</t>
  </si>
  <si>
    <t xml:space="preserve"> - Use tax return information, ideally for the last five years, to complete the tab titled "Cash Earnings."  
   Tax information needed is form 1040 (for non-farm income), schedule F, and form 4797 (for cull 
   cow and gain (loss) from other capital asset sales).</t>
  </si>
  <si>
    <t xml:space="preserve">This spreadsheet system provides an average of financial information over time by using tax return information (readily available), a current balance sheet (which could be done based on the current situation), and an estimate of unpaid labor and management and average interest rate.  This information is then used to automatically create ratios and other information used in financial analysis.  The gold standard for farm financial analysis is the Ratio Scorecard, 21 ratios recommended by the FFSC that provide information on liquidity, solvency, profitability, repayment capacity, and efficiency.  In addition there are two tabs titled "Bernhardt Dozen" and "Farm Center Dozen" that provide a smaller number of ratios.  </t>
  </si>
  <si>
    <r>
      <rPr>
        <sz val="11"/>
        <color theme="1"/>
        <rFont val="Calibri"/>
        <family val="2"/>
        <scheme val="minor"/>
      </rPr>
      <t>Supplies, prepaid, growing crops</t>
    </r>
    <r>
      <rPr>
        <sz val="8"/>
        <color theme="1"/>
        <rFont val="Calibri"/>
        <family val="2"/>
        <scheme val="minor"/>
      </rPr>
      <t xml:space="preserve"> </t>
    </r>
  </si>
  <si>
    <t xml:space="preserve">Accounts payable &amp; credit cards </t>
  </si>
  <si>
    <t xml:space="preserve">Purchased breeding livestock </t>
  </si>
  <si>
    <t>Accts, notes, contracts receivable</t>
  </si>
  <si>
    <t xml:space="preserve">Other non-current liabilities </t>
  </si>
  <si>
    <t xml:space="preserve">Real estate: Land &amp; improvements </t>
  </si>
  <si>
    <t xml:space="preserve">Real estate: Buildings &amp; improvements </t>
  </si>
  <si>
    <t xml:space="preserve">Real estate: Personal residence </t>
  </si>
  <si>
    <t>Term loan payments, next 12 months</t>
  </si>
  <si>
    <t>Custom hire (machine work)</t>
  </si>
  <si>
    <t>Breeding fees, if separate from vet, brd, &amp; med</t>
  </si>
  <si>
    <t xml:space="preserve">Farm businesses do have one set of records, historical and current, that is a base to start from and that is their tax returns, particularly form 1040, schedule F, and form 4797.  Most farmers use cash accounting for taxes, thereby allowing efforts to lower taxable income in any given year.  This is a great tool for tax management, but can also potentially seriously distort the true financial picture.  In a textbook world there would be accurate beginning and ending balance sheets on the same day each year and thus cash income could be adjusted for inventory changes with the result being an accurate picture of the true financial situation.  </t>
  </si>
  <si>
    <t xml:space="preserve"> - The rest of the tabs are different presentations of ratios that are automatically calculated from 
    the "Cash Earnings" and "Current Balance Sheet" tabs</t>
  </si>
  <si>
    <t xml:space="preserve"> - Complete a current balance sheet by using the "Current Balance Sheet" tab.  </t>
  </si>
  <si>
    <t xml:space="preserve">Averaging over a period of years is certainly not perfect, but it is better than nothing at all and better than trying to gain insight by looking at just one year of cash earnings.  </t>
  </si>
  <si>
    <t>Labor hired</t>
  </si>
  <si>
    <t xml:space="preserve">Cash Earnings Statement Based on Average of Past Tax Returns Information
(user input needed in shaded cells if applicable) </t>
  </si>
  <si>
    <t>An estimate of management value is 5% of Gross Revenues, which is:</t>
  </si>
  <si>
    <t>Estimate of owner labor (hrs/yr):</t>
  </si>
  <si>
    <t>wage rate ($/hr):</t>
  </si>
  <si>
    <t>Estimate of total labor and management provided by owners (paid &amp; unpaid)</t>
  </si>
  <si>
    <r>
      <t xml:space="preserve"> </t>
    </r>
    <r>
      <rPr>
        <vertAlign val="superscript"/>
        <sz val="11"/>
        <color theme="1"/>
        <rFont val="Calibri"/>
        <family val="2"/>
        <scheme val="minor"/>
      </rPr>
      <t>2</t>
    </r>
    <r>
      <rPr>
        <sz val="11"/>
        <color theme="1"/>
        <rFont val="Calibri"/>
        <family val="2"/>
        <scheme val="minor"/>
      </rPr>
      <t xml:space="preserve">  Includes principal payments, family living draw (estimated by unpaid labor &amp; mgt) less off-farm income.  Principal pmts. based 
    on 2016 balance sheet.</t>
    </r>
  </si>
  <si>
    <t xml:space="preserve">Difference is based on changing cows, </t>
  </si>
  <si>
    <t xml:space="preserve">   debt based on current year only</t>
  </si>
  <si>
    <r>
      <rPr>
        <b/>
        <u/>
        <sz val="14"/>
        <color theme="1"/>
        <rFont val="Calibri"/>
        <family val="2"/>
        <scheme val="minor"/>
      </rPr>
      <t>NOTE:</t>
    </r>
    <r>
      <rPr>
        <sz val="11"/>
        <color theme="1"/>
        <rFont val="Calibri"/>
        <family val="2"/>
        <scheme val="minor"/>
      </rPr>
      <t xml:space="preserve"> 
All formulas and titles are protected cells.  If you want to unprotect a cell then click "Review" and "Unprotect Sheet."  However, once you do so then all formulas on that tab will be unprotected from accidental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</si>
</sst>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000_);[Red]\(#,##0.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name val="Calibri"/>
      <family val="2"/>
      <scheme val="minor"/>
    </font>
    <font>
      <sz val="10"/>
      <name val="Calibri"/>
      <family val="2"/>
      <scheme val="minor"/>
    </font>
    <font>
      <sz val="9"/>
      <name val="Calibri"/>
      <family val="2"/>
      <scheme val="minor"/>
    </font>
    <font>
      <sz val="9"/>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b/>
      <sz val="9"/>
      <color theme="1"/>
      <name val="Calibri"/>
      <family val="2"/>
      <scheme val="minor"/>
    </font>
    <font>
      <b/>
      <sz val="9"/>
      <color indexed="81"/>
      <name val="Tahoma"/>
      <family val="2"/>
    </font>
    <font>
      <sz val="9"/>
      <color indexed="81"/>
      <name val="Tahoma"/>
      <family val="2"/>
    </font>
    <font>
      <sz val="11"/>
      <color theme="1"/>
      <name val="Times New Roman"/>
      <family val="1"/>
    </font>
    <font>
      <b/>
      <sz val="14"/>
      <color theme="1"/>
      <name val="Calibri"/>
      <family val="2"/>
      <scheme val="minor"/>
    </font>
    <font>
      <b/>
      <u/>
      <sz val="12"/>
      <color theme="1"/>
      <name val="Calibri"/>
      <family val="2"/>
      <scheme val="minor"/>
    </font>
    <font>
      <vertAlign val="superscript"/>
      <sz val="11"/>
      <color theme="1"/>
      <name val="Calibri"/>
      <family val="2"/>
      <scheme val="minor"/>
    </font>
    <font>
      <b/>
      <u/>
      <sz val="14"/>
      <color theme="1"/>
      <name val="Calibri"/>
      <family val="2"/>
      <scheme val="minor"/>
    </font>
    <font>
      <b/>
      <sz val="12"/>
      <color theme="1"/>
      <name val="Calibri"/>
      <family val="2"/>
      <scheme val="minor"/>
    </font>
    <font>
      <b/>
      <vertAlign val="superscript"/>
      <sz val="11"/>
      <color theme="1"/>
      <name val="Calibri"/>
      <family val="2"/>
      <scheme val="minor"/>
    </font>
    <font>
      <b/>
      <sz val="18"/>
      <color theme="1"/>
      <name val="Calibri"/>
      <family val="2"/>
      <scheme val="minor"/>
    </font>
    <font>
      <sz val="14"/>
      <color theme="1"/>
      <name val="Calibri"/>
      <family val="2"/>
      <scheme val="minor"/>
    </font>
    <font>
      <vertAlign val="superscript"/>
      <sz val="12"/>
      <color theme="1"/>
      <name val="Calibri"/>
      <family val="2"/>
      <scheme val="minor"/>
    </font>
    <font>
      <vertAlign val="superscript"/>
      <sz val="14"/>
      <color theme="1"/>
      <name val="Calibri"/>
      <family val="2"/>
      <scheme val="minor"/>
    </font>
    <font>
      <vertAlign val="superscript"/>
      <sz val="11"/>
      <color theme="1"/>
      <name val="Times New Roman"/>
      <family val="1"/>
    </font>
    <font>
      <b/>
      <sz val="8"/>
      <color theme="1"/>
      <name val="Calibri"/>
      <family val="2"/>
      <scheme val="minor"/>
    </font>
    <font>
      <sz val="8"/>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79998168889431442"/>
        <bgColor indexed="64"/>
      </patternFill>
    </fill>
  </fills>
  <borders count="63">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ck">
        <color indexed="64"/>
      </top>
      <bottom style="thin">
        <color indexed="64"/>
      </bottom>
      <diagonal/>
    </border>
    <border>
      <left style="thick">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n">
        <color auto="1"/>
      </right>
      <top style="thin">
        <color auto="1"/>
      </top>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auto="1"/>
      </left>
      <right style="thick">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auto="1"/>
      </bottom>
      <diagonal/>
    </border>
    <border>
      <left style="thin">
        <color auto="1"/>
      </left>
      <right style="medium">
        <color indexed="64"/>
      </right>
      <top style="thin">
        <color indexed="64"/>
      </top>
      <bottom style="medium">
        <color indexed="64"/>
      </bottom>
      <diagonal/>
    </border>
    <border>
      <left/>
      <right/>
      <top style="thin">
        <color indexed="64"/>
      </top>
      <bottom style="thick">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diagonal/>
    </border>
    <border>
      <left/>
      <right/>
      <top style="medium">
        <color indexed="64"/>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indexed="64"/>
      </right>
      <top/>
      <bottom/>
      <diagonal/>
    </border>
    <border>
      <left/>
      <right/>
      <top style="thin">
        <color auto="1"/>
      </top>
      <bottom/>
      <diagonal/>
    </border>
    <border>
      <left/>
      <right/>
      <top style="thin">
        <color auto="1"/>
      </top>
      <bottom style="medium">
        <color indexed="64"/>
      </bottom>
      <diagonal/>
    </border>
    <border>
      <left style="thin">
        <color auto="1"/>
      </left>
      <right/>
      <top style="medium">
        <color indexed="64"/>
      </top>
      <bottom/>
      <diagonal/>
    </border>
    <border>
      <left style="thin">
        <color auto="1"/>
      </left>
      <right/>
      <top style="medium">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ck">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10">
    <xf numFmtId="0" fontId="0" fillId="0" borderId="0" xfId="0"/>
    <xf numFmtId="0" fontId="0" fillId="0" borderId="7"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0" xfId="0" applyProtection="1">
      <protection locked="0"/>
    </xf>
    <xf numFmtId="0" fontId="17" fillId="0" borderId="0" xfId="0" applyFont="1" applyAlignment="1" applyProtection="1">
      <alignment horizontal="center" vertical="center" wrapText="1"/>
    </xf>
    <xf numFmtId="0" fontId="0" fillId="0" borderId="0" xfId="0" applyAlignment="1" applyProtection="1">
      <alignment wrapText="1"/>
    </xf>
    <xf numFmtId="0" fontId="0" fillId="0" borderId="0" xfId="0" applyProtection="1"/>
    <xf numFmtId="0" fontId="20" fillId="0" borderId="0" xfId="0" applyFont="1" applyAlignment="1" applyProtection="1">
      <alignment wrapText="1"/>
    </xf>
    <xf numFmtId="0" fontId="0" fillId="0" borderId="0" xfId="0" applyFont="1" applyProtection="1">
      <protection locked="0"/>
    </xf>
    <xf numFmtId="0" fontId="3" fillId="0" borderId="8" xfId="0" applyFont="1" applyFill="1" applyBorder="1" applyAlignment="1" applyProtection="1">
      <alignment horizontal="center"/>
      <protection locked="0"/>
    </xf>
    <xf numFmtId="0" fontId="2" fillId="2" borderId="8"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164" fontId="0" fillId="2" borderId="8" xfId="1" applyNumberFormat="1" applyFont="1" applyFill="1" applyBorder="1" applyProtection="1">
      <protection locked="0"/>
    </xf>
    <xf numFmtId="164" fontId="0" fillId="2" borderId="6" xfId="1" applyNumberFormat="1" applyFont="1" applyFill="1" applyBorder="1" applyProtection="1">
      <protection locked="0"/>
    </xf>
    <xf numFmtId="43" fontId="0" fillId="2" borderId="8" xfId="1" applyNumberFormat="1" applyFont="1" applyFill="1" applyBorder="1" applyProtection="1">
      <protection locked="0"/>
    </xf>
    <xf numFmtId="43" fontId="0" fillId="2" borderId="6" xfId="1" applyNumberFormat="1" applyFont="1" applyFill="1" applyBorder="1" applyProtection="1">
      <protection locked="0"/>
    </xf>
    <xf numFmtId="0" fontId="0" fillId="0" borderId="8" xfId="0" applyFont="1" applyBorder="1" applyProtection="1">
      <protection locked="0"/>
    </xf>
    <xf numFmtId="164" fontId="0" fillId="0" borderId="8" xfId="0" applyNumberFormat="1" applyFont="1" applyBorder="1" applyProtection="1">
      <protection locked="0"/>
    </xf>
    <xf numFmtId="164" fontId="0" fillId="0" borderId="6" xfId="0" applyNumberFormat="1" applyFont="1" applyBorder="1" applyProtection="1">
      <protection locked="0"/>
    </xf>
    <xf numFmtId="164" fontId="0" fillId="0" borderId="8" xfId="1" applyNumberFormat="1" applyFont="1" applyBorder="1" applyProtection="1">
      <protection locked="0"/>
    </xf>
    <xf numFmtId="164" fontId="0" fillId="0" borderId="6" xfId="1" applyNumberFormat="1" applyFont="1" applyBorder="1" applyProtection="1">
      <protection locked="0"/>
    </xf>
    <xf numFmtId="0" fontId="0" fillId="2" borderId="8"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0" fillId="0" borderId="0" xfId="0" applyFont="1" applyBorder="1" applyProtection="1">
      <protection locked="0"/>
    </xf>
    <xf numFmtId="0" fontId="0" fillId="0" borderId="0" xfId="0" applyFont="1" applyBorder="1" applyAlignment="1" applyProtection="1">
      <protection locked="0"/>
    </xf>
    <xf numFmtId="0" fontId="2" fillId="0" borderId="0" xfId="0" applyFont="1" applyBorder="1" applyAlignment="1" applyProtection="1">
      <alignment horizontal="right"/>
      <protection locked="0"/>
    </xf>
    <xf numFmtId="0" fontId="4" fillId="0" borderId="0" xfId="0" applyFont="1" applyFill="1" applyBorder="1" applyAlignment="1" applyProtection="1">
      <alignment horizontal="center"/>
      <protection locked="0"/>
    </xf>
    <xf numFmtId="164" fontId="2" fillId="0" borderId="0" xfId="1" applyNumberFormat="1" applyFont="1" applyFill="1" applyBorder="1" applyAlignment="1" applyProtection="1">
      <protection locked="0"/>
    </xf>
    <xf numFmtId="164" fontId="0" fillId="0" borderId="0" xfId="1" applyNumberFormat="1" applyFont="1" applyFill="1" applyBorder="1" applyAlignment="1" applyProtection="1">
      <protection locked="0"/>
    </xf>
    <xf numFmtId="0" fontId="5" fillId="0" borderId="0" xfId="0" applyFont="1" applyProtection="1">
      <protection locked="0"/>
    </xf>
    <xf numFmtId="0" fontId="3" fillId="0" borderId="0" xfId="0" applyFont="1" applyFill="1" applyAlignment="1" applyProtection="1">
      <alignment horizontal="center"/>
      <protection locked="0"/>
    </xf>
    <xf numFmtId="0" fontId="5" fillId="0" borderId="26" xfId="0" applyFont="1" applyBorder="1" applyAlignment="1" applyProtection="1">
      <alignment horizontal="center" vertical="center"/>
    </xf>
    <xf numFmtId="0" fontId="0" fillId="0" borderId="6" xfId="0" applyFont="1" applyBorder="1" applyProtection="1"/>
    <xf numFmtId="0" fontId="0" fillId="0" borderId="11" xfId="0" applyFont="1" applyBorder="1" applyProtection="1"/>
    <xf numFmtId="0" fontId="0" fillId="0" borderId="7" xfId="0" applyFont="1" applyBorder="1" applyAlignment="1" applyProtection="1">
      <alignment horizontal="right"/>
    </xf>
    <xf numFmtId="0" fontId="0" fillId="0" borderId="7" xfId="0" applyFont="1" applyBorder="1" applyAlignment="1" applyProtection="1"/>
    <xf numFmtId="0" fontId="0" fillId="0" borderId="11" xfId="0" applyFont="1" applyBorder="1" applyAlignment="1" applyProtection="1">
      <alignment horizontal="right"/>
    </xf>
    <xf numFmtId="0" fontId="0" fillId="0" borderId="7" xfId="0" applyFont="1" applyFill="1" applyBorder="1" applyAlignment="1" applyProtection="1">
      <alignment horizontal="right"/>
    </xf>
    <xf numFmtId="0" fontId="5" fillId="0" borderId="24" xfId="0" applyFont="1" applyBorder="1" applyAlignment="1" applyProtection="1">
      <alignment horizontal="center" vertical="center"/>
    </xf>
    <xf numFmtId="0" fontId="0" fillId="0" borderId="7" xfId="0" applyFont="1" applyBorder="1" applyProtection="1"/>
    <xf numFmtId="0" fontId="0" fillId="0" borderId="8" xfId="0" applyFont="1" applyBorder="1" applyProtection="1"/>
    <xf numFmtId="0" fontId="5" fillId="0" borderId="8" xfId="0" applyFont="1" applyFill="1" applyBorder="1" applyAlignment="1" applyProtection="1">
      <alignment horizontal="center" wrapText="1"/>
    </xf>
    <xf numFmtId="3" fontId="6" fillId="0" borderId="8" xfId="0" applyNumberFormat="1" applyFont="1" applyFill="1" applyBorder="1" applyAlignment="1" applyProtection="1">
      <alignment vertical="center"/>
    </xf>
    <xf numFmtId="3" fontId="7" fillId="0" borderId="8" xfId="0" applyNumberFormat="1" applyFont="1" applyFill="1" applyBorder="1" applyAlignment="1" applyProtection="1">
      <alignment horizontal="center" vertical="center"/>
    </xf>
    <xf numFmtId="0" fontId="3" fillId="0" borderId="8" xfId="0" applyFont="1" applyBorder="1" applyProtection="1"/>
    <xf numFmtId="3" fontId="6" fillId="2" borderId="8" xfId="0" applyNumberFormat="1" applyFont="1" applyFill="1" applyBorder="1" applyAlignment="1" applyProtection="1">
      <alignment vertical="center"/>
    </xf>
    <xf numFmtId="3" fontId="29" fillId="0" borderId="8" xfId="0" applyNumberFormat="1" applyFont="1" applyFill="1" applyBorder="1" applyAlignment="1" applyProtection="1">
      <alignment horizontal="center" vertical="center"/>
    </xf>
    <xf numFmtId="3" fontId="8" fillId="0" borderId="8" xfId="0" applyNumberFormat="1" applyFont="1" applyFill="1" applyBorder="1" applyAlignment="1" applyProtection="1">
      <alignment horizontal="center" vertical="center"/>
    </xf>
    <xf numFmtId="0" fontId="5" fillId="0" borderId="8" xfId="0" applyFont="1" applyFill="1" applyBorder="1" applyAlignment="1" applyProtection="1">
      <alignment horizontal="center"/>
    </xf>
    <xf numFmtId="0" fontId="0" fillId="0" borderId="7" xfId="0" applyFont="1" applyBorder="1" applyAlignment="1" applyProtection="1">
      <alignment horizontal="center"/>
    </xf>
    <xf numFmtId="0" fontId="5" fillId="0" borderId="8" xfId="0" applyFont="1" applyBorder="1" applyAlignment="1" applyProtection="1">
      <alignment horizontal="center" vertical="center"/>
    </xf>
    <xf numFmtId="0" fontId="5" fillId="0" borderId="8" xfId="0" applyFont="1" applyBorder="1" applyAlignment="1" applyProtection="1"/>
    <xf numFmtId="0" fontId="2" fillId="0" borderId="7" xfId="0" applyFont="1" applyBorder="1" applyAlignment="1" applyProtection="1">
      <alignment horizontal="right"/>
    </xf>
    <xf numFmtId="0" fontId="28" fillId="0" borderId="8" xfId="0" applyFont="1" applyFill="1" applyBorder="1" applyAlignment="1" applyProtection="1">
      <alignment horizontal="center"/>
    </xf>
    <xf numFmtId="0" fontId="2" fillId="0" borderId="6" xfId="0" applyFont="1" applyBorder="1" applyAlignment="1" applyProtection="1"/>
    <xf numFmtId="0" fontId="2" fillId="0" borderId="11" xfId="0" applyFont="1" applyBorder="1" applyAlignment="1" applyProtection="1"/>
    <xf numFmtId="0" fontId="2" fillId="0" borderId="7" xfId="0" applyFont="1" applyBorder="1" applyAlignment="1" applyProtection="1"/>
    <xf numFmtId="0" fontId="9" fillId="0" borderId="7" xfId="0" applyFont="1" applyBorder="1" applyProtection="1"/>
    <xf numFmtId="0" fontId="5" fillId="0" borderId="7" xfId="0" applyFont="1" applyBorder="1" applyAlignment="1" applyProtection="1">
      <alignment horizontal="right"/>
    </xf>
    <xf numFmtId="0" fontId="5" fillId="0" borderId="15" xfId="0" applyFont="1" applyFill="1" applyBorder="1" applyAlignment="1" applyProtection="1">
      <alignment horizontal="center"/>
    </xf>
    <xf numFmtId="0" fontId="2" fillId="0" borderId="8" xfId="0" applyFont="1" applyBorder="1" applyAlignment="1" applyProtection="1">
      <alignment horizontal="right"/>
    </xf>
    <xf numFmtId="37" fontId="0" fillId="0" borderId="7" xfId="1" applyNumberFormat="1" applyFont="1" applyFill="1" applyBorder="1" applyAlignment="1" applyProtection="1">
      <alignment horizontal="left"/>
    </xf>
    <xf numFmtId="37" fontId="5" fillId="0" borderId="8" xfId="1" applyNumberFormat="1" applyFont="1" applyFill="1" applyBorder="1" applyAlignment="1" applyProtection="1">
      <alignment horizontal="center"/>
    </xf>
    <xf numFmtId="0" fontId="10" fillId="0" borderId="6" xfId="0" applyFont="1" applyBorder="1" applyAlignment="1" applyProtection="1"/>
    <xf numFmtId="0" fontId="10" fillId="0" borderId="11" xfId="0" applyFont="1" applyBorder="1" applyAlignment="1" applyProtection="1"/>
    <xf numFmtId="0" fontId="0" fillId="0" borderId="11" xfId="0" applyFont="1" applyBorder="1" applyAlignment="1" applyProtection="1">
      <alignment horizontal="left"/>
    </xf>
    <xf numFmtId="164" fontId="5" fillId="2" borderId="8" xfId="1" applyNumberFormat="1" applyFont="1" applyFill="1" applyBorder="1" applyProtection="1"/>
    <xf numFmtId="0" fontId="0" fillId="0" borderId="11" xfId="0" applyFont="1" applyBorder="1" applyAlignment="1" applyProtection="1"/>
    <xf numFmtId="0" fontId="9" fillId="0" borderId="7" xfId="0" applyFont="1" applyBorder="1" applyAlignment="1" applyProtection="1">
      <alignment horizontal="right"/>
    </xf>
    <xf numFmtId="0" fontId="3" fillId="0" borderId="8" xfId="0" applyFont="1" applyFill="1" applyBorder="1" applyAlignment="1" applyProtection="1">
      <alignment horizontal="center"/>
    </xf>
    <xf numFmtId="0" fontId="5" fillId="0" borderId="34" xfId="0" applyFont="1" applyBorder="1" applyAlignment="1" applyProtection="1">
      <alignment horizontal="center" vertical="center"/>
    </xf>
    <xf numFmtId="0" fontId="0" fillId="0" borderId="46" xfId="0" applyFont="1" applyBorder="1" applyProtection="1"/>
    <xf numFmtId="0" fontId="0" fillId="0" borderId="50" xfId="0" applyFont="1" applyBorder="1" applyAlignment="1" applyProtection="1"/>
    <xf numFmtId="0" fontId="2" fillId="0" borderId="47" xfId="0" applyFont="1" applyBorder="1" applyAlignment="1" applyProtection="1">
      <alignment horizontal="right"/>
    </xf>
    <xf numFmtId="0" fontId="4" fillId="0" borderId="35" xfId="0" applyFont="1" applyFill="1" applyBorder="1" applyAlignment="1" applyProtection="1">
      <alignment horizontal="center"/>
    </xf>
    <xf numFmtId="164" fontId="2" fillId="0" borderId="35" xfId="1" applyNumberFormat="1" applyFont="1" applyFill="1" applyBorder="1" applyAlignment="1" applyProtection="1"/>
    <xf numFmtId="164" fontId="2" fillId="0" borderId="46" xfId="1" applyNumberFormat="1" applyFont="1" applyFill="1" applyBorder="1" applyAlignment="1" applyProtection="1"/>
    <xf numFmtId="164" fontId="0" fillId="0" borderId="62" xfId="1" applyNumberFormat="1" applyFont="1" applyFill="1" applyBorder="1" applyProtection="1"/>
    <xf numFmtId="164" fontId="2" fillId="0" borderId="8" xfId="1" applyNumberFormat="1" applyFont="1" applyBorder="1" applyAlignment="1" applyProtection="1"/>
    <xf numFmtId="164" fontId="2" fillId="0" borderId="6" xfId="1" applyNumberFormat="1" applyFont="1" applyBorder="1" applyAlignment="1" applyProtection="1"/>
    <xf numFmtId="164" fontId="2" fillId="0" borderId="8" xfId="1" applyNumberFormat="1" applyFont="1" applyBorder="1" applyAlignment="1" applyProtection="1">
      <alignment horizontal="right"/>
    </xf>
    <xf numFmtId="164" fontId="2" fillId="0" borderId="6" xfId="1" applyNumberFormat="1" applyFont="1" applyBorder="1" applyAlignment="1" applyProtection="1">
      <alignment horizontal="right"/>
    </xf>
    <xf numFmtId="164" fontId="2" fillId="0" borderId="8" xfId="1" applyNumberFormat="1" applyFont="1" applyBorder="1" applyProtection="1"/>
    <xf numFmtId="164" fontId="2" fillId="0" borderId="6" xfId="1" applyNumberFormat="1" applyFont="1" applyBorder="1" applyProtection="1"/>
    <xf numFmtId="164" fontId="0" fillId="0" borderId="8" xfId="1" applyNumberFormat="1" applyFont="1" applyBorder="1" applyProtection="1"/>
    <xf numFmtId="164" fontId="0" fillId="0" borderId="6" xfId="1" applyNumberFormat="1" applyFont="1" applyBorder="1" applyProtection="1"/>
    <xf numFmtId="164" fontId="0" fillId="0" borderId="8" xfId="0" applyNumberFormat="1" applyFont="1" applyBorder="1" applyProtection="1"/>
    <xf numFmtId="164" fontId="0" fillId="0" borderId="8" xfId="1" applyNumberFormat="1" applyFont="1" applyBorder="1" applyAlignment="1" applyProtection="1"/>
    <xf numFmtId="164" fontId="0" fillId="0" borderId="6" xfId="1" applyNumberFormat="1" applyFont="1" applyBorder="1" applyAlignment="1" applyProtection="1"/>
    <xf numFmtId="49" fontId="2" fillId="0" borderId="8" xfId="1" applyNumberFormat="1" applyFont="1" applyFill="1" applyBorder="1" applyAlignment="1" applyProtection="1">
      <alignment horizontal="center"/>
    </xf>
    <xf numFmtId="49" fontId="2" fillId="0" borderId="6" xfId="1" applyNumberFormat="1" applyFont="1" applyFill="1" applyBorder="1" applyAlignment="1" applyProtection="1">
      <alignment horizontal="center"/>
    </xf>
    <xf numFmtId="0" fontId="2" fillId="0" borderId="60" xfId="0" applyFont="1" applyFill="1" applyBorder="1" applyAlignment="1" applyProtection="1">
      <alignment horizontal="center" vertical="center"/>
    </xf>
    <xf numFmtId="49" fontId="2" fillId="0" borderId="61" xfId="1" applyNumberFormat="1" applyFont="1" applyFill="1" applyBorder="1" applyAlignment="1" applyProtection="1">
      <alignment horizontal="center"/>
    </xf>
    <xf numFmtId="164" fontId="0" fillId="0" borderId="61" xfId="1" applyNumberFormat="1" applyFont="1" applyFill="1" applyBorder="1" applyProtection="1"/>
    <xf numFmtId="43" fontId="0" fillId="0" borderId="61" xfId="1" applyNumberFormat="1" applyFont="1" applyFill="1" applyBorder="1" applyProtection="1"/>
    <xf numFmtId="0" fontId="0" fillId="0" borderId="61" xfId="0" applyFont="1" applyFill="1" applyBorder="1" applyProtection="1"/>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0" fillId="0" borderId="18" xfId="0" applyBorder="1" applyProtection="1"/>
    <xf numFmtId="0" fontId="0" fillId="0" borderId="49" xfId="0" applyBorder="1" applyProtection="1"/>
    <xf numFmtId="0" fontId="2" fillId="0" borderId="19" xfId="0" applyFont="1" applyBorder="1" applyAlignment="1" applyProtection="1">
      <alignment horizontal="right"/>
    </xf>
    <xf numFmtId="0" fontId="0" fillId="0" borderId="53" xfId="0" applyBorder="1" applyProtection="1"/>
    <xf numFmtId="0" fontId="0" fillId="0" borderId="36" xfId="0" applyBorder="1" applyProtection="1"/>
    <xf numFmtId="0" fontId="17" fillId="0" borderId="54" xfId="0" applyFont="1" applyBorder="1" applyAlignment="1" applyProtection="1">
      <alignment horizontal="right" vertical="center"/>
    </xf>
    <xf numFmtId="0" fontId="17" fillId="0" borderId="6" xfId="0" applyFont="1" applyBorder="1" applyAlignment="1" applyProtection="1">
      <alignment vertical="center"/>
    </xf>
    <xf numFmtId="0" fontId="17" fillId="0" borderId="11" xfId="0" applyFont="1" applyBorder="1" applyAlignment="1" applyProtection="1">
      <alignment vertical="center"/>
    </xf>
    <xf numFmtId="0" fontId="2" fillId="0" borderId="11" xfId="0" applyFont="1" applyBorder="1" applyAlignment="1" applyProtection="1">
      <alignment vertical="center"/>
    </xf>
    <xf numFmtId="0" fontId="0" fillId="0" borderId="6" xfId="0" applyBorder="1" applyProtection="1"/>
    <xf numFmtId="0" fontId="0" fillId="0" borderId="6" xfId="0" applyFill="1" applyBorder="1" applyProtection="1"/>
    <xf numFmtId="0" fontId="0" fillId="0" borderId="27" xfId="0" applyFill="1" applyBorder="1" applyProtection="1"/>
    <xf numFmtId="0" fontId="17" fillId="0" borderId="30" xfId="0" applyFont="1" applyBorder="1" applyAlignment="1" applyProtection="1">
      <alignment vertical="center"/>
    </xf>
    <xf numFmtId="0" fontId="17" fillId="0" borderId="31" xfId="0" applyFont="1" applyBorder="1" applyAlignment="1" applyProtection="1">
      <alignment vertical="center"/>
    </xf>
    <xf numFmtId="0" fontId="2" fillId="0" borderId="31" xfId="0" applyFont="1" applyBorder="1" applyAlignment="1" applyProtection="1">
      <alignment vertical="center"/>
    </xf>
    <xf numFmtId="0" fontId="0" fillId="0" borderId="27" xfId="0" applyBorder="1" applyProtection="1"/>
    <xf numFmtId="0" fontId="17" fillId="0" borderId="30" xfId="0" applyFont="1" applyBorder="1" applyAlignment="1" applyProtection="1">
      <alignment horizontal="left"/>
    </xf>
    <xf numFmtId="0" fontId="17" fillId="0" borderId="31" xfId="0" applyFont="1" applyBorder="1" applyAlignment="1" applyProtection="1">
      <alignment horizontal="left"/>
    </xf>
    <xf numFmtId="0" fontId="2" fillId="0" borderId="32" xfId="0" applyFont="1" applyBorder="1" applyAlignment="1" applyProtection="1">
      <alignment horizontal="left"/>
    </xf>
    <xf numFmtId="0" fontId="5" fillId="0" borderId="12" xfId="0" applyFont="1" applyBorder="1" applyAlignment="1" applyProtection="1">
      <alignment horizontal="center" vertical="center"/>
    </xf>
    <xf numFmtId="0" fontId="0" fillId="0" borderId="20" xfId="0" applyBorder="1" applyProtection="1"/>
    <xf numFmtId="164" fontId="2" fillId="0" borderId="9" xfId="1" applyNumberFormat="1" applyFont="1" applyBorder="1" applyProtection="1"/>
    <xf numFmtId="164" fontId="2" fillId="0" borderId="55" xfId="1" applyNumberFormat="1" applyFont="1" applyBorder="1" applyProtection="1"/>
    <xf numFmtId="164" fontId="17" fillId="0" borderId="9" xfId="1" applyNumberFormat="1" applyFont="1" applyFill="1" applyBorder="1" applyAlignment="1" applyProtection="1">
      <alignment horizontal="center" vertical="center"/>
    </xf>
    <xf numFmtId="37" fontId="2" fillId="0" borderId="13" xfId="1" applyNumberFormat="1" applyFont="1" applyBorder="1" applyProtection="1"/>
    <xf numFmtId="164" fontId="0" fillId="3" borderId="9" xfId="1" applyNumberFormat="1" applyFont="1" applyFill="1" applyBorder="1" applyProtection="1"/>
    <xf numFmtId="164" fontId="2" fillId="0" borderId="9" xfId="1" applyNumberFormat="1" applyFont="1" applyFill="1" applyBorder="1" applyProtection="1"/>
    <xf numFmtId="164" fontId="2" fillId="0" borderId="55" xfId="1" applyNumberFormat="1" applyFont="1" applyFill="1" applyBorder="1" applyProtection="1"/>
    <xf numFmtId="164" fontId="17" fillId="3" borderId="9" xfId="1" applyNumberFormat="1" applyFont="1" applyFill="1" applyBorder="1" applyAlignment="1" applyProtection="1">
      <alignment horizontal="center" vertical="center"/>
    </xf>
    <xf numFmtId="164" fontId="12" fillId="0" borderId="9" xfId="1" applyNumberFormat="1" applyFont="1" applyFill="1" applyBorder="1" applyAlignment="1" applyProtection="1">
      <alignment horizontal="center" vertical="center"/>
    </xf>
    <xf numFmtId="0" fontId="20" fillId="0" borderId="0" xfId="0" applyFont="1" applyProtection="1"/>
    <xf numFmtId="0" fontId="24" fillId="0" borderId="0" xfId="0" applyFont="1" applyAlignment="1" applyProtection="1">
      <alignment horizontal="center" vertical="center"/>
    </xf>
    <xf numFmtId="3" fontId="0" fillId="0" borderId="0" xfId="1" applyNumberFormat="1" applyFont="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0" fillId="0" borderId="0" xfId="0" applyFill="1" applyAlignment="1" applyProtection="1">
      <alignment horizontal="left"/>
    </xf>
    <xf numFmtId="164" fontId="0" fillId="0" borderId="0" xfId="1" applyNumberFormat="1" applyFont="1" applyFill="1" applyProtection="1"/>
    <xf numFmtId="0" fontId="0" fillId="0" borderId="0" xfId="0" applyFill="1" applyAlignment="1" applyProtection="1">
      <alignment horizontal="right"/>
    </xf>
    <xf numFmtId="0" fontId="0" fillId="0" borderId="0" xfId="0" applyAlignment="1" applyProtection="1">
      <alignment vertical="center"/>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5" fillId="0" borderId="56" xfId="0" applyFont="1" applyBorder="1" applyAlignment="1" applyProtection="1">
      <alignment horizontal="center" vertical="center"/>
    </xf>
    <xf numFmtId="0" fontId="0" fillId="0" borderId="57" xfId="0" applyBorder="1" applyProtection="1"/>
    <xf numFmtId="0" fontId="0" fillId="0" borderId="57" xfId="0" applyBorder="1" applyAlignment="1" applyProtection="1">
      <alignment horizontal="center"/>
    </xf>
    <xf numFmtId="0" fontId="0" fillId="0" borderId="58" xfId="0" applyBorder="1" applyProtection="1"/>
    <xf numFmtId="0" fontId="5" fillId="0" borderId="42" xfId="0" applyFont="1" applyBorder="1" applyAlignment="1" applyProtection="1">
      <alignment horizontal="center" vertical="center"/>
    </xf>
    <xf numFmtId="0" fontId="0" fillId="0" borderId="59" xfId="0" applyBorder="1" applyProtection="1"/>
    <xf numFmtId="0" fontId="0" fillId="0" borderId="59" xfId="0" applyFont="1" applyBorder="1" applyAlignment="1" applyProtection="1">
      <alignment horizontal="center" vertical="center" wrapText="1"/>
    </xf>
    <xf numFmtId="2" fontId="0" fillId="5" borderId="59" xfId="0" applyNumberFormat="1" applyFont="1" applyFill="1" applyBorder="1" applyAlignment="1" applyProtection="1">
      <alignment horizontal="center" vertical="center"/>
    </xf>
    <xf numFmtId="0" fontId="12" fillId="4" borderId="59" xfId="0" applyFont="1" applyFill="1" applyBorder="1" applyAlignment="1" applyProtection="1">
      <alignment horizontal="center" vertical="center"/>
    </xf>
    <xf numFmtId="0" fontId="12" fillId="6" borderId="43" xfId="0" applyFont="1" applyFill="1" applyBorder="1" applyAlignment="1" applyProtection="1">
      <alignment horizontal="center" vertical="center"/>
    </xf>
    <xf numFmtId="0" fontId="0" fillId="0" borderId="8" xfId="0" applyBorder="1" applyProtection="1"/>
    <xf numFmtId="37" fontId="0" fillId="0" borderId="8" xfId="1" applyNumberFormat="1" applyFont="1" applyBorder="1" applyAlignment="1" applyProtection="1">
      <alignment horizontal="center" vertical="center" wrapText="1"/>
    </xf>
    <xf numFmtId="2" fontId="0" fillId="5" borderId="8" xfId="0" applyNumberFormat="1"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12" fillId="6" borderId="33" xfId="0" applyFont="1" applyFill="1" applyBorder="1" applyAlignment="1" applyProtection="1">
      <alignment horizontal="center" vertical="center"/>
    </xf>
    <xf numFmtId="0" fontId="16" fillId="0" borderId="8" xfId="0" applyFont="1" applyBorder="1" applyAlignment="1" applyProtection="1">
      <alignment vertical="center" wrapText="1"/>
    </xf>
    <xf numFmtId="165" fontId="0" fillId="0" borderId="8" xfId="2" applyNumberFormat="1" applyFont="1" applyBorder="1" applyAlignment="1" applyProtection="1">
      <alignment horizontal="center"/>
    </xf>
    <xf numFmtId="9" fontId="0" fillId="5" borderId="8" xfId="2" applyFont="1" applyFill="1" applyBorder="1" applyAlignment="1" applyProtection="1">
      <alignment horizontal="center"/>
    </xf>
    <xf numFmtId="16" fontId="0" fillId="4" borderId="8" xfId="0" applyNumberFormat="1" applyFont="1" applyFill="1" applyBorder="1" applyAlignment="1" applyProtection="1">
      <alignment horizontal="center"/>
    </xf>
    <xf numFmtId="2" fontId="0" fillId="6" borderId="33" xfId="0" applyNumberFormat="1" applyFont="1" applyFill="1" applyBorder="1" applyAlignment="1" applyProtection="1">
      <alignment horizontal="center"/>
    </xf>
    <xf numFmtId="2" fontId="0" fillId="5" borderId="8" xfId="0" applyNumberFormat="1" applyFont="1" applyFill="1" applyBorder="1" applyAlignment="1" applyProtection="1">
      <alignment horizontal="center"/>
    </xf>
    <xf numFmtId="0" fontId="0" fillId="4" borderId="8" xfId="0" applyFont="1" applyFill="1" applyBorder="1" applyAlignment="1" applyProtection="1">
      <alignment horizontal="center"/>
    </xf>
    <xf numFmtId="0" fontId="16" fillId="0" borderId="35" xfId="0" applyFont="1" applyBorder="1" applyAlignment="1" applyProtection="1">
      <alignment vertical="center" wrapText="1"/>
    </xf>
    <xf numFmtId="9" fontId="0" fillId="0" borderId="35" xfId="2" applyNumberFormat="1" applyFont="1" applyBorder="1" applyAlignment="1" applyProtection="1">
      <alignment horizontal="center"/>
    </xf>
    <xf numFmtId="2" fontId="0" fillId="5" borderId="35" xfId="0" applyNumberFormat="1" applyFont="1" applyFill="1" applyBorder="1" applyAlignment="1" applyProtection="1">
      <alignment horizontal="center"/>
    </xf>
    <xf numFmtId="0" fontId="0" fillId="4" borderId="35" xfId="0" applyFont="1" applyFill="1" applyBorder="1" applyAlignment="1" applyProtection="1">
      <alignment horizontal="center"/>
    </xf>
    <xf numFmtId="2" fontId="0" fillId="6" borderId="37" xfId="0" applyNumberFormat="1" applyFont="1" applyFill="1" applyBorder="1" applyAlignment="1" applyProtection="1">
      <alignment horizontal="center"/>
    </xf>
    <xf numFmtId="0" fontId="0" fillId="0" borderId="40" xfId="0" applyBorder="1" applyAlignment="1" applyProtection="1">
      <alignment horizontal="center" vertical="center"/>
    </xf>
    <xf numFmtId="0" fontId="0" fillId="0" borderId="24" xfId="0" applyFont="1" applyBorder="1" applyAlignment="1" applyProtection="1">
      <alignment horizontal="center" vertical="center"/>
    </xf>
    <xf numFmtId="0" fontId="20" fillId="0" borderId="25" xfId="0" applyFont="1" applyBorder="1" applyAlignment="1" applyProtection="1">
      <alignment horizontal="left" vertical="center"/>
    </xf>
    <xf numFmtId="0" fontId="0" fillId="0" borderId="25" xfId="0" applyFont="1" applyBorder="1" applyProtection="1"/>
    <xf numFmtId="0" fontId="0" fillId="0" borderId="39" xfId="0" applyFont="1" applyBorder="1" applyProtection="1"/>
    <xf numFmtId="0" fontId="0" fillId="0" borderId="26" xfId="0" applyFont="1" applyBorder="1" applyAlignment="1" applyProtection="1">
      <alignment horizontal="center" vertical="center"/>
    </xf>
    <xf numFmtId="49" fontId="0" fillId="0" borderId="8" xfId="0" applyNumberFormat="1" applyFont="1" applyBorder="1" applyAlignment="1" applyProtection="1">
      <alignment horizontal="center"/>
    </xf>
    <xf numFmtId="49" fontId="0" fillId="0" borderId="33" xfId="0" applyNumberFormat="1" applyFont="1" applyBorder="1" applyAlignment="1" applyProtection="1">
      <alignment horizontal="center"/>
    </xf>
    <xf numFmtId="38" fontId="0" fillId="0" borderId="8" xfId="1" applyNumberFormat="1" applyFont="1" applyBorder="1" applyAlignment="1" applyProtection="1">
      <alignment horizontal="center"/>
    </xf>
    <xf numFmtId="38" fontId="0" fillId="0" borderId="33" xfId="1" applyNumberFormat="1" applyFont="1" applyBorder="1" applyAlignment="1" applyProtection="1">
      <alignment horizontal="center"/>
    </xf>
    <xf numFmtId="0" fontId="28" fillId="0" borderId="26" xfId="0" applyFont="1" applyBorder="1" applyAlignment="1" applyProtection="1">
      <alignment horizontal="center" vertical="center"/>
    </xf>
    <xf numFmtId="38" fontId="2" fillId="0" borderId="8" xfId="1" applyNumberFormat="1" applyFont="1" applyBorder="1" applyAlignment="1" applyProtection="1">
      <alignment horizontal="right"/>
    </xf>
    <xf numFmtId="38" fontId="2" fillId="0" borderId="33" xfId="1" applyNumberFormat="1" applyFont="1" applyBorder="1" applyAlignment="1" applyProtection="1">
      <alignment horizontal="right"/>
    </xf>
    <xf numFmtId="0" fontId="0" fillId="0" borderId="8" xfId="0" applyFont="1" applyBorder="1" applyAlignment="1" applyProtection="1">
      <alignment horizontal="left"/>
    </xf>
    <xf numFmtId="38" fontId="0" fillId="0" borderId="8" xfId="1" applyNumberFormat="1" applyFont="1" applyFill="1" applyBorder="1" applyAlignment="1" applyProtection="1">
      <alignment horizontal="center"/>
    </xf>
    <xf numFmtId="38" fontId="0" fillId="0" borderId="33" xfId="1" applyNumberFormat="1" applyFont="1" applyFill="1" applyBorder="1" applyAlignment="1" applyProtection="1">
      <alignment horizontal="center"/>
    </xf>
    <xf numFmtId="0" fontId="0" fillId="0" borderId="8" xfId="0" applyFont="1" applyBorder="1" applyAlignment="1" applyProtection="1">
      <alignment wrapText="1"/>
    </xf>
    <xf numFmtId="9" fontId="0" fillId="0" borderId="8" xfId="2" applyFont="1" applyBorder="1" applyAlignment="1" applyProtection="1">
      <alignment horizontal="center" vertical="center"/>
    </xf>
    <xf numFmtId="9" fontId="0" fillId="0" borderId="33" xfId="2" applyFont="1" applyBorder="1" applyAlignment="1" applyProtection="1">
      <alignment horizontal="center" vertical="center"/>
    </xf>
    <xf numFmtId="38" fontId="0" fillId="0" borderId="8" xfId="1" applyNumberFormat="1" applyFont="1" applyBorder="1" applyAlignment="1" applyProtection="1">
      <alignment horizontal="center" vertical="center"/>
    </xf>
    <xf numFmtId="38" fontId="0" fillId="0" borderId="33" xfId="1" applyNumberFormat="1" applyFont="1" applyBorder="1" applyAlignment="1" applyProtection="1">
      <alignment horizontal="center" vertical="center"/>
    </xf>
    <xf numFmtId="164" fontId="0" fillId="0" borderId="8" xfId="1" applyNumberFormat="1" applyFont="1" applyBorder="1" applyAlignment="1" applyProtection="1">
      <alignment horizontal="center" vertical="center"/>
    </xf>
    <xf numFmtId="164" fontId="0" fillId="0" borderId="33" xfId="1" applyNumberFormat="1" applyFont="1" applyBorder="1" applyAlignment="1" applyProtection="1">
      <alignment horizontal="center" vertical="center"/>
    </xf>
    <xf numFmtId="0" fontId="0" fillId="0" borderId="35" xfId="0" applyFont="1" applyBorder="1" applyAlignment="1" applyProtection="1">
      <alignment vertical="center" wrapText="1"/>
    </xf>
    <xf numFmtId="38" fontId="0" fillId="0" borderId="35" xfId="1" applyNumberFormat="1" applyFont="1" applyBorder="1" applyAlignment="1" applyProtection="1">
      <alignment horizontal="center" vertical="center"/>
    </xf>
    <xf numFmtId="38" fontId="0" fillId="0" borderId="37" xfId="1" applyNumberFormat="1" applyFont="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Font="1" applyProtection="1"/>
    <xf numFmtId="0" fontId="19" fillId="0" borderId="0" xfId="0" applyFont="1" applyAlignment="1" applyProtection="1">
      <alignment horizontal="center" vertical="center"/>
    </xf>
    <xf numFmtId="0" fontId="0" fillId="0" borderId="0" xfId="0" applyFont="1" applyAlignment="1" applyProtection="1"/>
    <xf numFmtId="0" fontId="5" fillId="0" borderId="0" xfId="0" applyFont="1" applyAlignment="1" applyProtection="1">
      <alignment horizontal="center" vertical="center"/>
    </xf>
    <xf numFmtId="0" fontId="0" fillId="0" borderId="0" xfId="0" applyFont="1" applyAlignment="1" applyProtection="1">
      <alignment horizontal="center"/>
    </xf>
    <xf numFmtId="0" fontId="0" fillId="0" borderId="24" xfId="0" applyFont="1" applyBorder="1" applyProtection="1"/>
    <xf numFmtId="0" fontId="0" fillId="0" borderId="25" xfId="0" applyFont="1" applyBorder="1" applyAlignment="1" applyProtection="1">
      <alignment horizontal="center" vertical="center" wrapText="1"/>
    </xf>
    <xf numFmtId="2" fontId="0" fillId="5" borderId="25" xfId="0" applyNumberFormat="1"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12" fillId="6" borderId="39" xfId="0" applyFont="1" applyFill="1" applyBorder="1" applyAlignment="1" applyProtection="1">
      <alignment horizontal="center" vertical="center"/>
    </xf>
    <xf numFmtId="0" fontId="10" fillId="0" borderId="26" xfId="0" applyFont="1" applyBorder="1" applyProtection="1"/>
    <xf numFmtId="0" fontId="10" fillId="0" borderId="8" xfId="0" applyFont="1" applyBorder="1" applyProtection="1"/>
    <xf numFmtId="0" fontId="0" fillId="0" borderId="26" xfId="0" applyFont="1" applyBorder="1" applyProtection="1"/>
    <xf numFmtId="39" fontId="0" fillId="0" borderId="8" xfId="1" applyNumberFormat="1" applyFont="1" applyBorder="1" applyAlignment="1" applyProtection="1">
      <alignment horizontal="center" vertical="center" wrapText="1"/>
    </xf>
    <xf numFmtId="0" fontId="0" fillId="0" borderId="26" xfId="0" applyFont="1" applyBorder="1" applyAlignment="1" applyProtection="1">
      <alignment vertical="center" wrapText="1"/>
    </xf>
    <xf numFmtId="9" fontId="0" fillId="0" borderId="8" xfId="0" applyNumberFormat="1" applyFont="1" applyBorder="1" applyAlignment="1" applyProtection="1">
      <alignment horizontal="center" vertical="center" wrapText="1"/>
    </xf>
    <xf numFmtId="165" fontId="0" fillId="0" borderId="8" xfId="0" applyNumberFormat="1" applyFont="1" applyBorder="1" applyAlignment="1" applyProtection="1">
      <alignment horizontal="center" vertical="center" wrapText="1"/>
    </xf>
    <xf numFmtId="37" fontId="0" fillId="0" borderId="8" xfId="0" applyNumberFormat="1" applyFont="1" applyBorder="1" applyAlignment="1" applyProtection="1">
      <alignment horizontal="center" vertical="center" wrapText="1"/>
    </xf>
    <xf numFmtId="0" fontId="10" fillId="0" borderId="26" xfId="0" applyFont="1" applyBorder="1" applyAlignment="1" applyProtection="1">
      <alignment vertical="center" wrapText="1"/>
    </xf>
    <xf numFmtId="165" fontId="10" fillId="0" borderId="8" xfId="0" applyNumberFormat="1" applyFont="1" applyBorder="1" applyAlignment="1" applyProtection="1">
      <alignment vertical="center" wrapText="1"/>
    </xf>
    <xf numFmtId="37" fontId="0" fillId="0" borderId="8" xfId="0" applyNumberFormat="1" applyFont="1" applyBorder="1" applyAlignment="1" applyProtection="1">
      <alignment horizontal="center"/>
    </xf>
    <xf numFmtId="9" fontId="0" fillId="0" borderId="8" xfId="2" applyNumberFormat="1" applyFont="1" applyBorder="1" applyAlignment="1" applyProtection="1">
      <alignment horizontal="center"/>
    </xf>
    <xf numFmtId="37" fontId="0" fillId="0" borderId="8" xfId="1" applyNumberFormat="1" applyFont="1" applyBorder="1" applyAlignment="1" applyProtection="1">
      <alignment horizontal="center"/>
    </xf>
    <xf numFmtId="39" fontId="0" fillId="0" borderId="8" xfId="0" applyNumberFormat="1" applyFont="1" applyBorder="1" applyAlignment="1" applyProtection="1">
      <alignment horizontal="center" vertical="center" wrapText="1"/>
    </xf>
    <xf numFmtId="39" fontId="0" fillId="0" borderId="8" xfId="1" applyNumberFormat="1" applyFont="1" applyBorder="1" applyAlignment="1" applyProtection="1">
      <alignment horizontal="center"/>
    </xf>
    <xf numFmtId="0" fontId="0" fillId="0" borderId="34" xfId="0" applyFont="1" applyBorder="1" applyAlignment="1" applyProtection="1">
      <alignment vertical="center" wrapText="1"/>
    </xf>
    <xf numFmtId="39" fontId="0" fillId="0" borderId="35" xfId="0" applyNumberFormat="1" applyFont="1" applyBorder="1" applyAlignment="1" applyProtection="1">
      <alignment horizontal="center" vertical="center" wrapText="1"/>
    </xf>
    <xf numFmtId="39" fontId="0" fillId="0" borderId="35" xfId="1" applyNumberFormat="1" applyFont="1" applyBorder="1" applyAlignment="1" applyProtection="1">
      <alignment horizontal="center"/>
    </xf>
    <xf numFmtId="0" fontId="20" fillId="0" borderId="8" xfId="0" applyFont="1" applyBorder="1" applyAlignment="1" applyProtection="1">
      <alignment horizontal="left" vertical="center"/>
    </xf>
    <xf numFmtId="0" fontId="0" fillId="0" borderId="16" xfId="0" applyFont="1" applyBorder="1" applyProtection="1"/>
    <xf numFmtId="49" fontId="0" fillId="0" borderId="0" xfId="0" applyNumberFormat="1" applyFont="1" applyBorder="1" applyAlignment="1" applyProtection="1">
      <alignment horizontal="center"/>
    </xf>
    <xf numFmtId="0" fontId="28" fillId="0" borderId="8" xfId="0" applyFont="1" applyBorder="1" applyAlignment="1" applyProtection="1">
      <alignment horizontal="center" vertical="center"/>
    </xf>
    <xf numFmtId="0" fontId="0" fillId="0" borderId="8" xfId="0" applyFont="1" applyBorder="1" applyAlignment="1" applyProtection="1">
      <alignment vertical="center" wrapText="1"/>
    </xf>
    <xf numFmtId="0" fontId="12" fillId="0" borderId="0" xfId="0" applyFont="1" applyBorder="1" applyProtection="1">
      <protection locked="0"/>
    </xf>
    <xf numFmtId="0" fontId="12" fillId="0" borderId="0" xfId="0" applyFont="1" applyProtection="1">
      <protection locked="0"/>
    </xf>
    <xf numFmtId="0" fontId="12" fillId="0" borderId="0" xfId="0" applyFont="1" applyFill="1" applyBorder="1" applyProtection="1">
      <protection locked="0"/>
    </xf>
    <xf numFmtId="49" fontId="25" fillId="0" borderId="0" xfId="0" applyNumberFormat="1" applyFont="1" applyBorder="1" applyAlignment="1" applyProtection="1">
      <alignment horizontal="right" vertical="top"/>
      <protection locked="0"/>
    </xf>
    <xf numFmtId="49" fontId="12" fillId="0" borderId="0" xfId="0" applyNumberFormat="1" applyFont="1" applyBorder="1" applyProtection="1">
      <protection locked="0"/>
    </xf>
    <xf numFmtId="166" fontId="12" fillId="0" borderId="0" xfId="1" applyNumberFormat="1" applyFont="1" applyFill="1" applyBorder="1" applyAlignment="1" applyProtection="1">
      <alignment horizontal="center"/>
      <protection locked="0"/>
    </xf>
    <xf numFmtId="166" fontId="12" fillId="0" borderId="0" xfId="0" applyNumberFormat="1" applyFont="1" applyBorder="1" applyAlignment="1" applyProtection="1">
      <alignment horizontal="center"/>
      <protection locked="0"/>
    </xf>
    <xf numFmtId="0" fontId="12" fillId="0" borderId="0" xfId="0" applyFont="1" applyBorder="1" applyAlignment="1" applyProtection="1">
      <alignment wrapText="1"/>
      <protection locked="0"/>
    </xf>
    <xf numFmtId="0" fontId="12" fillId="0" borderId="0" xfId="0" applyFont="1" applyBorder="1" applyAlignment="1" applyProtection="1">
      <alignment horizontal="right"/>
      <protection locked="0"/>
    </xf>
    <xf numFmtId="0" fontId="12" fillId="0" borderId="0"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Alignment="1" applyProtection="1">
      <alignment vertical="center"/>
      <protection locked="0"/>
    </xf>
    <xf numFmtId="49" fontId="12" fillId="0" borderId="0" xfId="0" applyNumberFormat="1" applyFont="1" applyProtection="1">
      <protection locked="0"/>
    </xf>
    <xf numFmtId="49" fontId="23" fillId="0" borderId="4" xfId="0" applyNumberFormat="1" applyFont="1" applyBorder="1" applyAlignment="1" applyProtection="1">
      <alignment vertical="center"/>
    </xf>
    <xf numFmtId="0" fontId="21" fillId="0" borderId="17"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2" fillId="0" borderId="0" xfId="0" applyFont="1" applyBorder="1" applyProtection="1"/>
    <xf numFmtId="0" fontId="12" fillId="0" borderId="0" xfId="0" applyFont="1" applyProtection="1"/>
    <xf numFmtId="49" fontId="12" fillId="0" borderId="5" xfId="0" applyNumberFormat="1" applyFont="1" applyBorder="1" applyProtection="1"/>
    <xf numFmtId="0" fontId="12" fillId="0" borderId="8" xfId="0" applyFont="1" applyBorder="1" applyAlignment="1" applyProtection="1">
      <alignment horizontal="right"/>
    </xf>
    <xf numFmtId="0" fontId="12" fillId="0" borderId="0" xfId="0" applyFont="1" applyFill="1" applyBorder="1" applyAlignment="1" applyProtection="1">
      <alignment horizontal="center"/>
    </xf>
    <xf numFmtId="0" fontId="24" fillId="0" borderId="10" xfId="0" applyFont="1" applyFill="1" applyBorder="1" applyAlignment="1" applyProtection="1">
      <alignment horizontal="right"/>
    </xf>
    <xf numFmtId="0" fontId="24" fillId="0" borderId="7" xfId="0" applyFont="1" applyFill="1" applyBorder="1" applyAlignment="1" applyProtection="1">
      <alignment horizontal="center"/>
    </xf>
    <xf numFmtId="0" fontId="24" fillId="0" borderId="14" xfId="0" applyFont="1" applyFill="1" applyBorder="1" applyAlignment="1" applyProtection="1">
      <alignment horizontal="center"/>
    </xf>
    <xf numFmtId="0" fontId="24" fillId="0" borderId="0" xfId="0" applyFont="1" applyFill="1" applyBorder="1" applyAlignment="1" applyProtection="1">
      <alignment horizont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0" xfId="0" applyFont="1" applyFill="1" applyBorder="1" applyAlignment="1" applyProtection="1">
      <alignment horizontal="center" vertical="center"/>
    </xf>
    <xf numFmtId="0" fontId="21" fillId="0" borderId="5" xfId="0" applyFont="1" applyFill="1" applyBorder="1" applyAlignment="1" applyProtection="1">
      <alignment horizontal="center" vertical="center" wrapText="1"/>
    </xf>
    <xf numFmtId="0" fontId="21" fillId="0" borderId="8" xfId="0" applyFont="1" applyFill="1" applyBorder="1" applyAlignment="1" applyProtection="1">
      <alignment horizontal="center" wrapText="1"/>
    </xf>
    <xf numFmtId="0" fontId="21" fillId="0" borderId="44" xfId="0" applyFont="1" applyFill="1" applyBorder="1" applyAlignment="1" applyProtection="1">
      <alignment horizontal="center"/>
    </xf>
    <xf numFmtId="0" fontId="21" fillId="0" borderId="26" xfId="0" applyFont="1" applyFill="1" applyBorder="1" applyAlignment="1" applyProtection="1">
      <alignment horizontal="center"/>
    </xf>
    <xf numFmtId="1" fontId="21" fillId="0" borderId="8" xfId="0" applyNumberFormat="1" applyFont="1" applyFill="1" applyBorder="1" applyAlignment="1" applyProtection="1">
      <alignment horizontal="center"/>
    </xf>
    <xf numFmtId="0" fontId="21" fillId="0" borderId="8" xfId="0" applyFont="1" applyFill="1" applyBorder="1" applyAlignment="1" applyProtection="1">
      <alignment horizontal="center"/>
    </xf>
    <xf numFmtId="0" fontId="21" fillId="0" borderId="33" xfId="0" applyFont="1" applyFill="1" applyBorder="1" applyAlignment="1" applyProtection="1">
      <alignment horizontal="center"/>
    </xf>
    <xf numFmtId="0" fontId="21" fillId="0" borderId="0" xfId="0" applyFont="1" applyFill="1" applyBorder="1" applyAlignment="1" applyProtection="1">
      <alignment horizontal="center"/>
    </xf>
    <xf numFmtId="49" fontId="17" fillId="0" borderId="5" xfId="0" applyNumberFormat="1" applyFont="1" applyBorder="1" applyProtection="1"/>
    <xf numFmtId="0" fontId="12" fillId="0" borderId="8" xfId="0" applyFont="1" applyBorder="1" applyProtection="1"/>
    <xf numFmtId="0" fontId="0" fillId="5" borderId="8" xfId="0" applyFont="1" applyFill="1" applyBorder="1" applyAlignment="1" applyProtection="1">
      <alignment horizontal="center"/>
    </xf>
    <xf numFmtId="0" fontId="0" fillId="6" borderId="9" xfId="0" applyFont="1" applyFill="1" applyBorder="1" applyAlignment="1" applyProtection="1">
      <alignment horizontal="center"/>
    </xf>
    <xf numFmtId="0" fontId="12" fillId="0" borderId="5" xfId="0" applyFont="1" applyFill="1" applyBorder="1" applyAlignment="1" applyProtection="1">
      <alignment horizontal="center"/>
    </xf>
    <xf numFmtId="0" fontId="12" fillId="0" borderId="8" xfId="0" applyFont="1" applyFill="1" applyBorder="1" applyProtection="1"/>
    <xf numFmtId="0" fontId="12" fillId="0" borderId="44" xfId="0" applyFont="1" applyFill="1" applyBorder="1" applyProtection="1"/>
    <xf numFmtId="0" fontId="12" fillId="0" borderId="26" xfId="0" applyFont="1" applyFill="1" applyBorder="1" applyAlignment="1" applyProtection="1">
      <alignment horizontal="center"/>
    </xf>
    <xf numFmtId="0" fontId="12" fillId="0" borderId="33" xfId="0" applyFont="1" applyFill="1" applyBorder="1" applyProtection="1"/>
    <xf numFmtId="0" fontId="12" fillId="0" borderId="0" xfId="0" applyFont="1" applyFill="1" applyBorder="1" applyProtection="1"/>
    <xf numFmtId="49" fontId="12" fillId="0" borderId="5" xfId="0" applyNumberFormat="1" applyFont="1" applyBorder="1" applyAlignment="1" applyProtection="1">
      <alignment horizontal="center"/>
    </xf>
    <xf numFmtId="2" fontId="0" fillId="6" borderId="9" xfId="0" applyNumberFormat="1" applyFont="1" applyFill="1" applyBorder="1" applyAlignment="1" applyProtection="1">
      <alignment horizontal="center"/>
    </xf>
    <xf numFmtId="2" fontId="12" fillId="0" borderId="0" xfId="0" applyNumberFormat="1" applyFont="1" applyFill="1" applyBorder="1" applyAlignment="1" applyProtection="1">
      <alignment horizontal="center"/>
    </xf>
    <xf numFmtId="2" fontId="12" fillId="0" borderId="5" xfId="1" applyNumberFormat="1" applyFont="1" applyFill="1" applyBorder="1" applyAlignment="1" applyProtection="1">
      <alignment horizontal="center"/>
    </xf>
    <xf numFmtId="2" fontId="12" fillId="0" borderId="8" xfId="1" applyNumberFormat="1" applyFont="1" applyFill="1" applyBorder="1" applyAlignment="1" applyProtection="1">
      <alignment horizontal="center"/>
    </xf>
    <xf numFmtId="2" fontId="12" fillId="0" borderId="44" xfId="1" applyNumberFormat="1" applyFont="1" applyFill="1" applyBorder="1" applyAlignment="1" applyProtection="1">
      <alignment horizontal="center"/>
    </xf>
    <xf numFmtId="2" fontId="12" fillId="0" borderId="26" xfId="1" applyNumberFormat="1" applyFont="1" applyFill="1" applyBorder="1" applyAlignment="1" applyProtection="1">
      <alignment horizontal="center"/>
    </xf>
    <xf numFmtId="2" fontId="12" fillId="0" borderId="33" xfId="1" applyNumberFormat="1" applyFont="1" applyFill="1" applyBorder="1" applyAlignment="1" applyProtection="1">
      <alignment horizontal="center"/>
    </xf>
    <xf numFmtId="2" fontId="12" fillId="0" borderId="0" xfId="1" applyNumberFormat="1" applyFont="1" applyFill="1" applyBorder="1" applyAlignment="1" applyProtection="1">
      <alignment horizontal="center"/>
    </xf>
    <xf numFmtId="37" fontId="0" fillId="5" borderId="8" xfId="0" applyNumberFormat="1" applyFont="1" applyFill="1" applyBorder="1" applyAlignment="1" applyProtection="1">
      <alignment horizontal="center"/>
    </xf>
    <xf numFmtId="37" fontId="0" fillId="4" borderId="8" xfId="0" applyNumberFormat="1" applyFont="1" applyFill="1" applyBorder="1" applyAlignment="1" applyProtection="1">
      <alignment horizontal="center"/>
    </xf>
    <xf numFmtId="37" fontId="0" fillId="6" borderId="9" xfId="0" applyNumberFormat="1" applyFont="1" applyFill="1" applyBorder="1" applyAlignment="1" applyProtection="1">
      <alignment horizontal="center"/>
    </xf>
    <xf numFmtId="37" fontId="12" fillId="0" borderId="0" xfId="0" applyNumberFormat="1" applyFont="1" applyFill="1" applyBorder="1" applyAlignment="1" applyProtection="1">
      <alignment horizontal="center"/>
    </xf>
    <xf numFmtId="37" fontId="12" fillId="0" borderId="5" xfId="1" applyNumberFormat="1" applyFont="1" applyFill="1" applyBorder="1" applyAlignment="1" applyProtection="1">
      <alignment horizontal="center"/>
    </xf>
    <xf numFmtId="37" fontId="12" fillId="0" borderId="8" xfId="1" applyNumberFormat="1" applyFont="1" applyFill="1" applyBorder="1" applyAlignment="1" applyProtection="1">
      <alignment horizontal="center"/>
    </xf>
    <xf numFmtId="37" fontId="12" fillId="0" borderId="44" xfId="1" applyNumberFormat="1" applyFont="1" applyFill="1" applyBorder="1" applyAlignment="1" applyProtection="1">
      <alignment horizontal="center"/>
    </xf>
    <xf numFmtId="164" fontId="12" fillId="0" borderId="26" xfId="1" applyNumberFormat="1" applyFont="1" applyFill="1" applyBorder="1" applyAlignment="1" applyProtection="1">
      <alignment horizontal="center"/>
    </xf>
    <xf numFmtId="164" fontId="12" fillId="0" borderId="8" xfId="1" applyNumberFormat="1" applyFont="1" applyFill="1" applyBorder="1" applyAlignment="1" applyProtection="1">
      <alignment horizontal="center"/>
    </xf>
    <xf numFmtId="37" fontId="12" fillId="0" borderId="33" xfId="1" applyNumberFormat="1" applyFont="1" applyFill="1" applyBorder="1" applyAlignment="1" applyProtection="1">
      <alignment horizontal="center"/>
    </xf>
    <xf numFmtId="37" fontId="12" fillId="0" borderId="0" xfId="1" applyNumberFormat="1" applyFont="1" applyFill="1" applyBorder="1" applyAlignment="1" applyProtection="1">
      <alignment horizontal="center"/>
    </xf>
    <xf numFmtId="165" fontId="12" fillId="0" borderId="5" xfId="2" applyNumberFormat="1" applyFont="1" applyFill="1" applyBorder="1" applyAlignment="1" applyProtection="1">
      <alignment horizontal="center"/>
    </xf>
    <xf numFmtId="165" fontId="12" fillId="0" borderId="8" xfId="2" applyNumberFormat="1" applyFont="1" applyFill="1" applyBorder="1" applyAlignment="1" applyProtection="1">
      <alignment horizontal="center"/>
    </xf>
    <xf numFmtId="165" fontId="12" fillId="0" borderId="44" xfId="2" applyNumberFormat="1" applyFont="1" applyFill="1" applyBorder="1" applyAlignment="1" applyProtection="1">
      <alignment horizontal="center"/>
    </xf>
    <xf numFmtId="165" fontId="12" fillId="0" borderId="26" xfId="2" applyNumberFormat="1" applyFont="1" applyFill="1" applyBorder="1" applyAlignment="1" applyProtection="1">
      <alignment horizontal="center"/>
    </xf>
    <xf numFmtId="165" fontId="12" fillId="0" borderId="33" xfId="2" applyNumberFormat="1" applyFont="1" applyFill="1" applyBorder="1" applyAlignment="1" applyProtection="1">
      <alignment horizontal="center"/>
    </xf>
    <xf numFmtId="165" fontId="12" fillId="0" borderId="0" xfId="2" applyNumberFormat="1" applyFont="1" applyFill="1" applyBorder="1" applyAlignment="1" applyProtection="1">
      <alignment horizontal="center"/>
    </xf>
    <xf numFmtId="49" fontId="12" fillId="0" borderId="5" xfId="0" applyNumberFormat="1" applyFont="1" applyBorder="1" applyAlignment="1" applyProtection="1">
      <alignment horizontal="right"/>
    </xf>
    <xf numFmtId="43" fontId="12" fillId="0" borderId="8" xfId="1" applyFont="1" applyFill="1" applyBorder="1" applyAlignment="1" applyProtection="1">
      <alignment horizontal="center"/>
    </xf>
    <xf numFmtId="9" fontId="12" fillId="0" borderId="8" xfId="2" applyNumberFormat="1" applyFont="1" applyFill="1" applyBorder="1" applyAlignment="1" applyProtection="1">
      <alignment horizontal="center"/>
    </xf>
    <xf numFmtId="9" fontId="12" fillId="0" borderId="33" xfId="2" applyNumberFormat="1" applyFont="1" applyFill="1" applyBorder="1" applyAlignment="1" applyProtection="1">
      <alignment horizontal="center"/>
    </xf>
    <xf numFmtId="9" fontId="12" fillId="0" borderId="0" xfId="2" applyNumberFormat="1" applyFont="1" applyFill="1" applyBorder="1" applyAlignment="1" applyProtection="1">
      <alignment horizontal="center"/>
    </xf>
    <xf numFmtId="39" fontId="12" fillId="0" borderId="5" xfId="1" applyNumberFormat="1" applyFont="1" applyFill="1" applyBorder="1" applyAlignment="1" applyProtection="1">
      <alignment horizontal="center"/>
    </xf>
    <xf numFmtId="39" fontId="12" fillId="0" borderId="8" xfId="1" applyNumberFormat="1" applyFont="1" applyFill="1" applyBorder="1" applyAlignment="1" applyProtection="1">
      <alignment horizontal="center"/>
    </xf>
    <xf numFmtId="39" fontId="12" fillId="0" borderId="44" xfId="1" applyNumberFormat="1" applyFont="1" applyFill="1" applyBorder="1" applyAlignment="1" applyProtection="1">
      <alignment horizontal="center"/>
    </xf>
    <xf numFmtId="43" fontId="12" fillId="0" borderId="26" xfId="1" applyNumberFormat="1" applyFont="1" applyFill="1" applyBorder="1" applyAlignment="1" applyProtection="1">
      <alignment horizontal="center"/>
    </xf>
    <xf numFmtId="39" fontId="12" fillId="0" borderId="33" xfId="1" applyNumberFormat="1" applyFont="1" applyFill="1" applyBorder="1" applyAlignment="1" applyProtection="1">
      <alignment horizontal="center"/>
    </xf>
    <xf numFmtId="39" fontId="12" fillId="0" borderId="0" xfId="1" applyNumberFormat="1" applyFont="1" applyFill="1" applyBorder="1" applyAlignment="1" applyProtection="1">
      <alignment horizontal="center"/>
    </xf>
    <xf numFmtId="3" fontId="12" fillId="0" borderId="5" xfId="1" applyNumberFormat="1" applyFont="1" applyFill="1" applyBorder="1" applyAlignment="1" applyProtection="1">
      <alignment horizontal="center"/>
    </xf>
    <xf numFmtId="3" fontId="12" fillId="0" borderId="8" xfId="1" applyNumberFormat="1" applyFont="1" applyFill="1" applyBorder="1" applyAlignment="1" applyProtection="1">
      <alignment horizontal="center"/>
    </xf>
    <xf numFmtId="164" fontId="12" fillId="0" borderId="0" xfId="1" applyNumberFormat="1" applyFont="1" applyFill="1" applyBorder="1" applyAlignment="1" applyProtection="1">
      <alignment horizontal="center"/>
    </xf>
    <xf numFmtId="0" fontId="0" fillId="0" borderId="8" xfId="0" applyFont="1" applyFill="1" applyBorder="1" applyAlignment="1" applyProtection="1">
      <alignment horizontal="center"/>
    </xf>
    <xf numFmtId="0" fontId="0" fillId="0" borderId="9" xfId="0" applyFont="1" applyFill="1" applyBorder="1" applyAlignment="1" applyProtection="1">
      <alignment horizontal="center"/>
    </xf>
    <xf numFmtId="3" fontId="12" fillId="0" borderId="48" xfId="1" applyNumberFormat="1" applyFont="1" applyFill="1" applyBorder="1" applyAlignment="1" applyProtection="1">
      <alignment horizontal="center"/>
    </xf>
    <xf numFmtId="43" fontId="12" fillId="0" borderId="26" xfId="1" applyFont="1" applyFill="1" applyBorder="1" applyAlignment="1" applyProtection="1">
      <alignment horizontal="center"/>
    </xf>
    <xf numFmtId="0" fontId="12" fillId="0" borderId="5" xfId="0" applyFont="1" applyBorder="1" applyAlignment="1" applyProtection="1">
      <alignment horizontal="center"/>
    </xf>
    <xf numFmtId="165" fontId="12" fillId="0" borderId="34" xfId="2" applyNumberFormat="1" applyFont="1" applyFill="1" applyBorder="1" applyAlignment="1" applyProtection="1">
      <alignment horizontal="center"/>
    </xf>
    <xf numFmtId="165" fontId="12" fillId="0" borderId="35" xfId="2" applyNumberFormat="1" applyFont="1" applyFill="1" applyBorder="1" applyAlignment="1" applyProtection="1">
      <alignment horizontal="center"/>
    </xf>
    <xf numFmtId="49" fontId="12" fillId="0" borderId="0" xfId="0" applyNumberFormat="1" applyFont="1" applyBorder="1" applyAlignment="1" applyProtection="1">
      <alignment horizontal="center"/>
    </xf>
    <xf numFmtId="2" fontId="0" fillId="0" borderId="49" xfId="0" applyNumberFormat="1" applyFont="1" applyFill="1" applyBorder="1" applyAlignment="1" applyProtection="1">
      <alignment horizontal="center"/>
    </xf>
    <xf numFmtId="0" fontId="0" fillId="0" borderId="49" xfId="0" applyFont="1" applyFill="1" applyBorder="1" applyAlignment="1" applyProtection="1">
      <alignment horizontal="center"/>
    </xf>
    <xf numFmtId="49" fontId="25" fillId="0" borderId="0" xfId="0" applyNumberFormat="1" applyFont="1" applyBorder="1" applyAlignment="1" applyProtection="1">
      <alignment horizontal="right" vertical="top"/>
    </xf>
    <xf numFmtId="2" fontId="0" fillId="0" borderId="0" xfId="0" applyNumberFormat="1" applyFont="1" applyFill="1" applyBorder="1" applyAlignment="1" applyProtection="1">
      <alignment horizontal="center"/>
    </xf>
    <xf numFmtId="0" fontId="0" fillId="0" borderId="0" xfId="0" applyFont="1" applyFill="1" applyBorder="1" applyAlignment="1" applyProtection="1">
      <alignment horizontal="center"/>
    </xf>
    <xf numFmtId="166" fontId="12" fillId="0" borderId="0" xfId="1" applyNumberFormat="1" applyFont="1" applyFill="1" applyBorder="1" applyAlignment="1" applyProtection="1">
      <alignment horizontal="left"/>
    </xf>
    <xf numFmtId="0" fontId="0" fillId="0" borderId="6" xfId="0" applyFont="1" applyBorder="1" applyAlignment="1" applyProtection="1">
      <alignment horizontal="center" vertical="center"/>
    </xf>
    <xf numFmtId="0" fontId="20" fillId="0" borderId="11" xfId="0" applyFont="1" applyBorder="1" applyAlignment="1" applyProtection="1">
      <alignment horizontal="left" vertical="center"/>
    </xf>
    <xf numFmtId="2" fontId="0" fillId="0" borderId="11" xfId="0" applyNumberFormat="1" applyFont="1" applyFill="1" applyBorder="1" applyAlignment="1" applyProtection="1">
      <alignment horizontal="center"/>
    </xf>
    <xf numFmtId="0" fontId="0" fillId="0" borderId="7" xfId="0" applyFont="1" applyFill="1" applyBorder="1" applyAlignment="1" applyProtection="1">
      <alignment horizontal="center"/>
    </xf>
    <xf numFmtId="38" fontId="12" fillId="0" borderId="0" xfId="2" applyNumberFormat="1" applyFont="1" applyFill="1" applyBorder="1" applyAlignment="1" applyProtection="1">
      <alignment horizontal="center"/>
    </xf>
    <xf numFmtId="0" fontId="2" fillId="0" borderId="6" xfId="0" applyFont="1" applyBorder="1" applyAlignment="1" applyProtection="1">
      <alignment horizontal="center" vertical="center"/>
    </xf>
    <xf numFmtId="0" fontId="2" fillId="0" borderId="11" xfId="0" applyFont="1" applyBorder="1" applyAlignment="1" applyProtection="1">
      <alignment horizontal="right"/>
    </xf>
    <xf numFmtId="0" fontId="2" fillId="0" borderId="11" xfId="0" applyFont="1" applyBorder="1" applyAlignment="1" applyProtection="1">
      <alignment wrapText="1"/>
    </xf>
    <xf numFmtId="0" fontId="2" fillId="0" borderId="7" xfId="0" applyFont="1" applyBorder="1" applyAlignment="1" applyProtection="1">
      <alignment wrapText="1"/>
    </xf>
    <xf numFmtId="0" fontId="0" fillId="0" borderId="11" xfId="0" applyFont="1" applyBorder="1" applyAlignment="1" applyProtection="1">
      <alignment wrapText="1"/>
    </xf>
    <xf numFmtId="9" fontId="12" fillId="0" borderId="0" xfId="2" applyFont="1" applyFill="1" applyBorder="1" applyAlignment="1" applyProtection="1">
      <alignment horizontal="center" vertical="center"/>
    </xf>
    <xf numFmtId="38" fontId="12" fillId="0" borderId="0" xfId="2" applyNumberFormat="1" applyFont="1" applyFill="1" applyBorder="1" applyAlignment="1" applyProtection="1">
      <alignment horizontal="center" vertical="center"/>
    </xf>
    <xf numFmtId="0" fontId="0" fillId="0" borderId="11" xfId="0" applyFont="1" applyBorder="1" applyAlignment="1" applyProtection="1">
      <alignment vertical="center" wrapText="1"/>
    </xf>
    <xf numFmtId="0" fontId="0" fillId="0" borderId="0" xfId="0" applyBorder="1" applyAlignment="1" applyProtection="1">
      <alignment wrapText="1"/>
    </xf>
    <xf numFmtId="0" fontId="19" fillId="0" borderId="0" xfId="0" applyFont="1" applyProtection="1"/>
    <xf numFmtId="0" fontId="0" fillId="0" borderId="0" xfId="0" applyAlignment="1" applyProtection="1"/>
    <xf numFmtId="0" fontId="17" fillId="0" borderId="52" xfId="0" applyFont="1" applyBorder="1" applyAlignment="1" applyProtection="1">
      <alignment horizontal="center" vertical="center" wrapText="1"/>
    </xf>
    <xf numFmtId="0" fontId="17" fillId="0" borderId="45"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0" fillId="0" borderId="8" xfId="0" applyFont="1" applyBorder="1" applyProtection="1"/>
    <xf numFmtId="0" fontId="2" fillId="0" borderId="8" xfId="0" applyFont="1" applyBorder="1" applyAlignment="1" applyProtection="1"/>
    <xf numFmtId="0" fontId="0" fillId="0" borderId="8" xfId="0" applyFont="1" applyFill="1" applyBorder="1" applyProtection="1"/>
    <xf numFmtId="0" fontId="0" fillId="0" borderId="8" xfId="0" applyFont="1" applyBorder="1" applyAlignment="1" applyProtection="1"/>
    <xf numFmtId="0" fontId="17" fillId="0" borderId="2" xfId="0" applyFont="1" applyBorder="1" applyAlignment="1" applyProtection="1">
      <alignment horizontal="center" wrapText="1"/>
    </xf>
    <xf numFmtId="0" fontId="17" fillId="0" borderId="3" xfId="0" applyFont="1" applyBorder="1" applyAlignment="1" applyProtection="1">
      <alignment horizontal="center" wrapText="1"/>
    </xf>
    <xf numFmtId="0" fontId="0" fillId="0" borderId="0" xfId="0" applyAlignment="1" applyProtection="1">
      <alignment vertical="center" wrapText="1"/>
    </xf>
    <xf numFmtId="0" fontId="2" fillId="0" borderId="11" xfId="0" applyFont="1" applyBorder="1" applyAlignment="1" applyProtection="1">
      <alignment horizontal="right"/>
    </xf>
    <xf numFmtId="0" fontId="2" fillId="0" borderId="7" xfId="0" applyFont="1" applyBorder="1" applyAlignment="1" applyProtection="1">
      <alignment horizontal="right"/>
    </xf>
    <xf numFmtId="0" fontId="2" fillId="0" borderId="28" xfId="0" applyFont="1" applyBorder="1" applyAlignment="1" applyProtection="1">
      <alignment horizontal="right"/>
    </xf>
    <xf numFmtId="0" fontId="2" fillId="0" borderId="29" xfId="0" applyFont="1" applyBorder="1" applyAlignment="1" applyProtection="1">
      <alignment horizontal="right"/>
    </xf>
    <xf numFmtId="0" fontId="2" fillId="0" borderId="38" xfId="0" applyFont="1" applyBorder="1" applyAlignment="1" applyProtection="1">
      <alignment horizontal="right"/>
    </xf>
    <xf numFmtId="0" fontId="2" fillId="0" borderId="21" xfId="0" applyFont="1" applyBorder="1" applyAlignment="1" applyProtection="1">
      <alignment horizontal="right"/>
    </xf>
    <xf numFmtId="0" fontId="18" fillId="3" borderId="8" xfId="0" applyFont="1" applyFill="1" applyBorder="1" applyProtection="1"/>
    <xf numFmtId="0" fontId="0" fillId="0" borderId="11" xfId="0" applyBorder="1" applyAlignment="1" applyProtection="1">
      <alignment wrapText="1"/>
    </xf>
    <xf numFmtId="0" fontId="0" fillId="0" borderId="7" xfId="0" applyBorder="1" applyAlignment="1" applyProtection="1">
      <alignment wrapText="1"/>
    </xf>
    <xf numFmtId="0" fontId="0" fillId="0" borderId="11" xfId="0" applyFill="1" applyBorder="1" applyProtection="1"/>
    <xf numFmtId="0" fontId="0" fillId="0" borderId="7" xfId="0" applyFill="1" applyBorder="1" applyProtection="1"/>
    <xf numFmtId="0" fontId="0" fillId="0" borderId="11" xfId="0" applyBorder="1" applyProtection="1"/>
    <xf numFmtId="0" fontId="0" fillId="0" borderId="7" xfId="0" applyBorder="1" applyProtection="1"/>
    <xf numFmtId="0" fontId="0" fillId="0" borderId="11" xfId="0" applyBorder="1" applyAlignment="1" applyProtection="1"/>
    <xf numFmtId="0" fontId="0" fillId="0" borderId="7" xfId="0" applyBorder="1" applyAlignment="1" applyProtection="1"/>
    <xf numFmtId="0" fontId="3" fillId="0" borderId="11" xfId="0" applyFont="1" applyFill="1" applyBorder="1" applyProtection="1"/>
    <xf numFmtId="0" fontId="3" fillId="0" borderId="7" xfId="0" applyFont="1" applyFill="1" applyBorder="1" applyProtection="1"/>
    <xf numFmtId="0" fontId="0" fillId="0" borderId="11" xfId="0" applyFill="1" applyBorder="1" applyAlignment="1" applyProtection="1"/>
    <xf numFmtId="0" fontId="0" fillId="0" borderId="7" xfId="0" applyFill="1" applyBorder="1" applyAlignment="1" applyProtection="1"/>
    <xf numFmtId="0" fontId="0" fillId="0" borderId="0" xfId="0" applyFont="1" applyAlignment="1" applyProtection="1">
      <alignment vertical="center" wrapText="1"/>
    </xf>
    <xf numFmtId="0" fontId="16" fillId="0" borderId="40" xfId="0" applyFont="1" applyFill="1" applyBorder="1" applyAlignment="1" applyProtection="1">
      <alignment vertical="center" wrapText="1"/>
    </xf>
    <xf numFmtId="2" fontId="0" fillId="7" borderId="8" xfId="0" applyNumberFormat="1" applyFont="1" applyFill="1" applyBorder="1" applyAlignment="1" applyProtection="1">
      <alignment horizontal="center"/>
    </xf>
    <xf numFmtId="2" fontId="0" fillId="7" borderId="33" xfId="0" applyNumberFormat="1" applyFont="1" applyFill="1" applyBorder="1" applyAlignment="1" applyProtection="1">
      <alignment horizontal="center"/>
    </xf>
    <xf numFmtId="0" fontId="0" fillId="0" borderId="0" xfId="0" applyFont="1" applyAlignment="1" applyProtection="1">
      <alignment wrapText="1"/>
    </xf>
    <xf numFmtId="0" fontId="0" fillId="0" borderId="51" xfId="0" applyFont="1" applyFill="1" applyBorder="1" applyAlignment="1" applyProtection="1">
      <alignment vertical="center" wrapText="1"/>
    </xf>
    <xf numFmtId="0" fontId="0" fillId="0" borderId="4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12" fillId="0" borderId="0" xfId="0" applyFont="1" applyAlignment="1" applyProtection="1">
      <alignment vertical="center" wrapText="1"/>
    </xf>
    <xf numFmtId="166" fontId="12" fillId="0" borderId="0" xfId="1" applyNumberFormat="1" applyFont="1" applyFill="1" applyBorder="1" applyAlignment="1" applyProtection="1">
      <alignment horizontal="left"/>
    </xf>
    <xf numFmtId="0" fontId="24" fillId="0" borderId="24" xfId="0" applyFont="1" applyFill="1" applyBorder="1" applyAlignment="1" applyProtection="1">
      <alignment horizontal="center"/>
    </xf>
    <xf numFmtId="0" fontId="24" fillId="0" borderId="25" xfId="0" applyFont="1" applyFill="1" applyBorder="1" applyAlignment="1" applyProtection="1">
      <alignment horizontal="center"/>
    </xf>
    <xf numFmtId="0" fontId="24" fillId="0" borderId="39" xfId="0" applyFont="1" applyFill="1" applyBorder="1" applyAlignment="1" applyProtection="1">
      <alignment horizontal="center"/>
    </xf>
    <xf numFmtId="49" fontId="23" fillId="0" borderId="1" xfId="0" applyNumberFormat="1" applyFont="1" applyBorder="1" applyAlignment="1" applyProtection="1">
      <alignment horizontal="center" vertical="center"/>
    </xf>
    <xf numFmtId="49" fontId="23" fillId="0" borderId="2" xfId="0" applyNumberFormat="1" applyFont="1" applyBorder="1" applyAlignment="1" applyProtection="1">
      <alignment horizontal="center" vertical="center"/>
    </xf>
    <xf numFmtId="49" fontId="23" fillId="0" borderId="3" xfId="0" applyNumberFormat="1" applyFont="1" applyBorder="1" applyAlignment="1" applyProtection="1">
      <alignment horizontal="center" vertical="center"/>
    </xf>
    <xf numFmtId="0" fontId="12" fillId="0" borderId="8" xfId="0" applyFont="1" applyBorder="1" applyAlignment="1" applyProtection="1">
      <alignment horizontal="center"/>
    </xf>
    <xf numFmtId="0" fontId="12" fillId="0" borderId="9" xfId="0" applyFont="1" applyBorder="1" applyAlignment="1" applyProtection="1">
      <alignment horizontal="center"/>
    </xf>
    <xf numFmtId="49" fontId="12" fillId="0" borderId="5" xfId="0" applyNumberFormat="1" applyFont="1" applyBorder="1" applyAlignment="1" applyProtection="1">
      <alignment horizontal="right"/>
    </xf>
    <xf numFmtId="49" fontId="12" fillId="0" borderId="8" xfId="0" applyNumberFormat="1" applyFont="1" applyBorder="1" applyAlignment="1" applyProtection="1">
      <alignment horizontal="right"/>
    </xf>
    <xf numFmtId="0" fontId="12" fillId="0" borderId="0" xfId="0" applyFont="1" applyBorder="1" applyAlignment="1" applyProtection="1">
      <alignment vertical="center" wrapText="1"/>
    </xf>
    <xf numFmtId="0" fontId="12" fillId="0" borderId="0" xfId="0" applyFont="1" applyAlignment="1" applyProtection="1">
      <alignment wrapText="1"/>
      <protection locked="0"/>
    </xf>
    <xf numFmtId="1" fontId="2" fillId="2" borderId="22" xfId="0" applyNumberFormat="1" applyFont="1" applyFill="1" applyBorder="1" applyAlignment="1" applyProtection="1">
      <alignment horizontal="center"/>
      <protection locked="0"/>
    </xf>
    <xf numFmtId="14" fontId="10" fillId="2"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protection locked="0"/>
    </xf>
    <xf numFmtId="0" fontId="0" fillId="0" borderId="0" xfId="0" applyBorder="1" applyProtection="1">
      <protection locked="0"/>
    </xf>
    <xf numFmtId="14" fontId="21" fillId="0" borderId="0" xfId="0" applyNumberFormat="1" applyFont="1" applyFill="1" applyBorder="1" applyAlignment="1" applyProtection="1">
      <alignment horizontal="center"/>
      <protection locked="0"/>
    </xf>
    <xf numFmtId="164" fontId="17" fillId="0" borderId="0" xfId="1" applyNumberFormat="1" applyFont="1" applyFill="1" applyBorder="1" applyAlignment="1" applyProtection="1">
      <alignment horizontal="center" vertical="center"/>
      <protection locked="0"/>
    </xf>
    <xf numFmtId="3" fontId="0" fillId="2" borderId="9" xfId="1" applyNumberFormat="1" applyFont="1" applyFill="1" applyBorder="1" applyProtection="1">
      <protection locked="0"/>
    </xf>
    <xf numFmtId="0" fontId="0" fillId="0" borderId="0" xfId="0" applyFill="1" applyBorder="1" applyProtection="1">
      <protection locked="0"/>
    </xf>
    <xf numFmtId="164" fontId="0" fillId="0" borderId="0" xfId="1" applyNumberFormat="1" applyFont="1" applyFill="1" applyBorder="1" applyProtection="1">
      <protection locked="0"/>
    </xf>
    <xf numFmtId="164" fontId="0" fillId="2" borderId="9" xfId="1" applyNumberFormat="1" applyFont="1" applyFill="1" applyBorder="1" applyProtection="1">
      <protection locked="0"/>
    </xf>
    <xf numFmtId="3" fontId="0" fillId="0" borderId="0" xfId="1" applyNumberFormat="1" applyFont="1" applyAlignment="1" applyProtection="1">
      <alignment horizontal="left"/>
      <protection locked="0"/>
    </xf>
    <xf numFmtId="0" fontId="0" fillId="2" borderId="8" xfId="0" applyFill="1" applyBorder="1" applyProtection="1">
      <protection locked="0"/>
    </xf>
    <xf numFmtId="0" fontId="0" fillId="0" borderId="0" xfId="0" applyFill="1" applyAlignment="1" applyProtection="1">
      <alignment horizontal="right"/>
      <protection locked="0"/>
    </xf>
    <xf numFmtId="3" fontId="0" fillId="2" borderId="23" xfId="1" applyNumberFormat="1" applyFont="1" applyFill="1" applyBorder="1" applyAlignment="1" applyProtection="1">
      <alignment horizontal="center"/>
      <protection locked="0"/>
    </xf>
    <xf numFmtId="10" fontId="0" fillId="2" borderId="23" xfId="2" applyNumberFormat="1" applyFont="1" applyFill="1" applyBorder="1" applyAlignment="1" applyProtection="1">
      <alignment horizont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3" workbookViewId="0">
      <selection activeCell="A16" sqref="A16"/>
    </sheetView>
  </sheetViews>
  <sheetFormatPr defaultRowHeight="14.5" x14ac:dyDescent="0.35"/>
  <cols>
    <col min="1" max="1" width="87.26953125" style="3" customWidth="1"/>
    <col min="2" max="16384" width="8.7265625" style="3"/>
  </cols>
  <sheetData>
    <row r="1" spans="1:1" ht="117.5" x14ac:dyDescent="0.35">
      <c r="A1" s="4" t="s">
        <v>306</v>
      </c>
    </row>
    <row r="2" spans="1:1" ht="102" customHeight="1" x14ac:dyDescent="0.35">
      <c r="A2" s="5" t="s">
        <v>303</v>
      </c>
    </row>
    <row r="3" spans="1:1" ht="111.5" customHeight="1" x14ac:dyDescent="0.35">
      <c r="A3" s="5" t="s">
        <v>323</v>
      </c>
    </row>
    <row r="4" spans="1:1" ht="53" customHeight="1" x14ac:dyDescent="0.35">
      <c r="A4" s="5" t="s">
        <v>304</v>
      </c>
    </row>
    <row r="5" spans="1:1" ht="124.5" customHeight="1" x14ac:dyDescent="0.35">
      <c r="A5" s="5" t="s">
        <v>307</v>
      </c>
    </row>
    <row r="6" spans="1:1" ht="40.5" customHeight="1" x14ac:dyDescent="0.35">
      <c r="A6" s="5" t="s">
        <v>326</v>
      </c>
    </row>
    <row r="7" spans="1:1" ht="124" customHeight="1" x14ac:dyDescent="0.35">
      <c r="A7" s="5" t="s">
        <v>311</v>
      </c>
    </row>
    <row r="8" spans="1:1" ht="82" customHeight="1" x14ac:dyDescent="0.35">
      <c r="A8" s="5" t="s">
        <v>305</v>
      </c>
    </row>
    <row r="9" spans="1:1" x14ac:dyDescent="0.35">
      <c r="A9" s="6"/>
    </row>
    <row r="10" spans="1:1" ht="18.5" x14ac:dyDescent="0.45">
      <c r="A10" s="7" t="s">
        <v>308</v>
      </c>
    </row>
    <row r="11" spans="1:1" ht="51.5" customHeight="1" x14ac:dyDescent="0.35">
      <c r="A11" s="5" t="s">
        <v>310</v>
      </c>
    </row>
    <row r="12" spans="1:1" ht="22" customHeight="1" x14ac:dyDescent="0.35">
      <c r="A12" s="5" t="s">
        <v>325</v>
      </c>
    </row>
    <row r="13" spans="1:1" ht="35" customHeight="1" x14ac:dyDescent="0.35">
      <c r="A13" s="5" t="s">
        <v>309</v>
      </c>
    </row>
    <row r="14" spans="1:1" ht="34.5" customHeight="1" x14ac:dyDescent="0.35">
      <c r="A14" s="5" t="s">
        <v>324</v>
      </c>
    </row>
    <row r="15" spans="1:1" x14ac:dyDescent="0.35">
      <c r="A15" s="6"/>
    </row>
    <row r="16" spans="1:1" ht="62" x14ac:dyDescent="0.35">
      <c r="A16" s="5" t="s">
        <v>336</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Normal="100" workbookViewId="0">
      <selection activeCell="K2" activeCellId="15" sqref="B1:L1 A2:D10 A1 A11:E51 D52:E55 A52:A55 A56:E68 F68:L68 F64:J64 F58:J60 F56:J56 F27:J29 F11 F8:J8 F3:J3 K2:L67"/>
    </sheetView>
  </sheetViews>
  <sheetFormatPr defaultColWidth="8.90625" defaultRowHeight="14.5" x14ac:dyDescent="0.35"/>
  <cols>
    <col min="1" max="1" width="3.26953125" style="29" customWidth="1"/>
    <col min="2" max="2" width="2.08984375" style="8" customWidth="1"/>
    <col min="3" max="3" width="29.90625" style="8" customWidth="1"/>
    <col min="4" max="4" width="12.6328125" style="8" customWidth="1"/>
    <col min="5" max="5" width="4.08984375" style="30" customWidth="1"/>
    <col min="6" max="12" width="11.26953125" style="8" customWidth="1"/>
    <col min="13" max="16384" width="8.90625" style="8"/>
  </cols>
  <sheetData>
    <row r="1" spans="1:12" ht="55.5" customHeight="1" thickBot="1" x14ac:dyDescent="0.4">
      <c r="A1" s="38">
        <v>1</v>
      </c>
      <c r="B1" s="343" t="s">
        <v>328</v>
      </c>
      <c r="C1" s="344"/>
      <c r="D1" s="344"/>
      <c r="E1" s="344"/>
      <c r="F1" s="344"/>
      <c r="G1" s="344"/>
      <c r="H1" s="344"/>
      <c r="I1" s="344"/>
      <c r="J1" s="344"/>
      <c r="K1" s="345"/>
      <c r="L1" s="346"/>
    </row>
    <row r="2" spans="1:12" x14ac:dyDescent="0.35">
      <c r="A2" s="31">
        <v>2</v>
      </c>
      <c r="B2" s="32"/>
      <c r="C2" s="33"/>
      <c r="D2" s="34" t="s">
        <v>0</v>
      </c>
      <c r="E2" s="9"/>
      <c r="F2" s="10">
        <v>2016</v>
      </c>
      <c r="G2" s="10">
        <v>2015</v>
      </c>
      <c r="H2" s="10">
        <v>2014</v>
      </c>
      <c r="I2" s="10">
        <v>2013</v>
      </c>
      <c r="J2" s="11">
        <v>2012</v>
      </c>
      <c r="K2" s="91" t="s">
        <v>147</v>
      </c>
      <c r="L2" s="91" t="s">
        <v>148</v>
      </c>
    </row>
    <row r="3" spans="1:12" ht="16" customHeight="1" x14ac:dyDescent="0.35">
      <c r="A3" s="31">
        <v>3</v>
      </c>
      <c r="B3" s="32"/>
      <c r="C3" s="33"/>
      <c r="D3" s="35" t="s">
        <v>1</v>
      </c>
      <c r="E3" s="9"/>
      <c r="F3" s="89" t="s">
        <v>258</v>
      </c>
      <c r="G3" s="89" t="s">
        <v>259</v>
      </c>
      <c r="H3" s="89" t="s">
        <v>260</v>
      </c>
      <c r="I3" s="89" t="s">
        <v>261</v>
      </c>
      <c r="J3" s="90" t="s">
        <v>262</v>
      </c>
      <c r="K3" s="92"/>
      <c r="L3" s="92"/>
    </row>
    <row r="4" spans="1:12" ht="16" customHeight="1" x14ac:dyDescent="0.35">
      <c r="A4" s="31">
        <v>4</v>
      </c>
      <c r="B4" s="32"/>
      <c r="C4" s="36"/>
      <c r="D4" s="34" t="s">
        <v>2</v>
      </c>
      <c r="E4" s="9"/>
      <c r="F4" s="12">
        <v>190</v>
      </c>
      <c r="G4" s="12">
        <v>199</v>
      </c>
      <c r="H4" s="12">
        <v>202</v>
      </c>
      <c r="I4" s="12">
        <v>202</v>
      </c>
      <c r="J4" s="13">
        <v>202</v>
      </c>
      <c r="K4" s="93">
        <f>AVERAGE(F4:H4)</f>
        <v>197</v>
      </c>
      <c r="L4" s="93">
        <f>AVERAGE(F4:J4)</f>
        <v>199</v>
      </c>
    </row>
    <row r="5" spans="1:12" ht="16" customHeight="1" x14ac:dyDescent="0.35">
      <c r="A5" s="31">
        <v>5</v>
      </c>
      <c r="B5" s="32"/>
      <c r="C5" s="36"/>
      <c r="D5" s="34" t="s">
        <v>3</v>
      </c>
      <c r="E5" s="9"/>
      <c r="F5" s="12">
        <v>52024.001022551602</v>
      </c>
      <c r="G5" s="12">
        <v>44069.413092550792</v>
      </c>
      <c r="H5" s="12">
        <v>35833.388704318939</v>
      </c>
      <c r="I5" s="12">
        <v>48305.225773718921</v>
      </c>
      <c r="J5" s="13">
        <v>65881.837160751558</v>
      </c>
      <c r="K5" s="93">
        <f t="shared" ref="K5:K68" si="0">AVERAGE(F5:H5)</f>
        <v>43975.600939807111</v>
      </c>
      <c r="L5" s="93">
        <f t="shared" ref="L5:L68" si="1">AVERAGE(F5:J5)</f>
        <v>49222.773150778361</v>
      </c>
    </row>
    <row r="6" spans="1:12" ht="16" customHeight="1" x14ac:dyDescent="0.35">
      <c r="A6" s="31">
        <v>6</v>
      </c>
      <c r="B6" s="32"/>
      <c r="C6" s="36"/>
      <c r="D6" s="37" t="s">
        <v>7</v>
      </c>
      <c r="E6" s="9"/>
      <c r="F6" s="14">
        <v>16.58596</v>
      </c>
      <c r="G6" s="14">
        <v>17.72</v>
      </c>
      <c r="H6" s="14">
        <v>24.08</v>
      </c>
      <c r="I6" s="14">
        <v>19.71</v>
      </c>
      <c r="J6" s="15">
        <v>19.16</v>
      </c>
      <c r="K6" s="94">
        <f>AVERAGE(F6:H6)</f>
        <v>19.461986666666665</v>
      </c>
      <c r="L6" s="94">
        <f>AVERAGE(F6:J6)</f>
        <v>19.451191999999999</v>
      </c>
    </row>
    <row r="7" spans="1:12" ht="16" customHeight="1" x14ac:dyDescent="0.35">
      <c r="A7" s="31">
        <v>7</v>
      </c>
      <c r="B7" s="32"/>
      <c r="C7" s="36"/>
      <c r="D7" s="37" t="s">
        <v>257</v>
      </c>
      <c r="E7" s="9"/>
      <c r="F7" s="12">
        <v>862868</v>
      </c>
      <c r="G7" s="12">
        <v>780910</v>
      </c>
      <c r="H7" s="12">
        <v>862868</v>
      </c>
      <c r="I7" s="12">
        <v>952096</v>
      </c>
      <c r="J7" s="13">
        <v>1262296</v>
      </c>
      <c r="K7" s="94"/>
      <c r="L7" s="94"/>
    </row>
    <row r="8" spans="1:12" ht="16" customHeight="1" x14ac:dyDescent="0.35">
      <c r="A8" s="31">
        <v>8</v>
      </c>
      <c r="B8" s="32"/>
      <c r="C8" s="36"/>
      <c r="D8" s="34" t="s">
        <v>4</v>
      </c>
      <c r="E8" s="9"/>
      <c r="F8" s="87">
        <f>F27/F6</f>
        <v>61352.613897537434</v>
      </c>
      <c r="G8" s="87">
        <f t="shared" ref="G8:J8" si="2">G27/G6</f>
        <v>64848.137697516933</v>
      </c>
      <c r="H8" s="87">
        <f t="shared" si="2"/>
        <v>59030.647840531565</v>
      </c>
      <c r="I8" s="87">
        <f t="shared" si="2"/>
        <v>61663.825469304917</v>
      </c>
      <c r="J8" s="88">
        <f t="shared" si="2"/>
        <v>60817.640918580379</v>
      </c>
      <c r="K8" s="93">
        <f t="shared" si="0"/>
        <v>61743.79981186198</v>
      </c>
      <c r="L8" s="93">
        <f t="shared" si="1"/>
        <v>61542.573164694244</v>
      </c>
    </row>
    <row r="9" spans="1:12" ht="16" customHeight="1" x14ac:dyDescent="0.35">
      <c r="A9" s="31">
        <v>9</v>
      </c>
      <c r="B9" s="32"/>
      <c r="C9" s="36"/>
      <c r="D9" s="37" t="s">
        <v>5</v>
      </c>
      <c r="E9" s="9"/>
      <c r="F9" s="12">
        <v>507</v>
      </c>
      <c r="G9" s="12">
        <v>453</v>
      </c>
      <c r="H9" s="12">
        <v>453</v>
      </c>
      <c r="I9" s="12">
        <v>453</v>
      </c>
      <c r="J9" s="13">
        <v>453</v>
      </c>
      <c r="K9" s="93">
        <f t="shared" si="0"/>
        <v>471</v>
      </c>
      <c r="L9" s="93">
        <f t="shared" si="1"/>
        <v>463.8</v>
      </c>
    </row>
    <row r="10" spans="1:12" ht="16" customHeight="1" x14ac:dyDescent="0.35">
      <c r="A10" s="31">
        <v>10</v>
      </c>
      <c r="B10" s="32"/>
      <c r="C10" s="36"/>
      <c r="D10" s="37" t="s">
        <v>6</v>
      </c>
      <c r="E10" s="9"/>
      <c r="F10" s="12">
        <v>27381</v>
      </c>
      <c r="G10" s="12">
        <v>27000</v>
      </c>
      <c r="H10" s="12">
        <v>25951</v>
      </c>
      <c r="I10" s="12">
        <f>(((I17-35000)/I6)*100)/I4</f>
        <v>25825.484374921511</v>
      </c>
      <c r="J10" s="13">
        <f>(((J17-35000)/J6)*100)/J4</f>
        <v>25166.08445813266</v>
      </c>
      <c r="K10" s="93">
        <f t="shared" si="0"/>
        <v>26777.333333333332</v>
      </c>
      <c r="L10" s="93">
        <f t="shared" si="1"/>
        <v>26264.713766610832</v>
      </c>
    </row>
    <row r="11" spans="1:12" ht="16" customHeight="1" x14ac:dyDescent="0.35">
      <c r="A11" s="31">
        <v>11</v>
      </c>
      <c r="B11" s="32"/>
      <c r="C11" s="33"/>
      <c r="D11" s="39"/>
      <c r="E11" s="40"/>
      <c r="F11" s="86"/>
      <c r="G11" s="17"/>
      <c r="H11" s="17"/>
      <c r="I11" s="17"/>
      <c r="J11" s="18"/>
      <c r="K11" s="95"/>
      <c r="L11" s="95"/>
    </row>
    <row r="12" spans="1:12" ht="23" customHeight="1" x14ac:dyDescent="0.35">
      <c r="A12" s="31">
        <v>12</v>
      </c>
      <c r="B12" s="348" t="s">
        <v>8</v>
      </c>
      <c r="C12" s="348"/>
      <c r="D12" s="348"/>
      <c r="E12" s="41" t="s">
        <v>9</v>
      </c>
      <c r="F12" s="19"/>
      <c r="G12" s="19"/>
      <c r="H12" s="19"/>
      <c r="I12" s="19"/>
      <c r="J12" s="20"/>
      <c r="K12" s="93"/>
      <c r="L12" s="93"/>
    </row>
    <row r="13" spans="1:12" ht="16" customHeight="1" x14ac:dyDescent="0.35">
      <c r="A13" s="31">
        <v>13</v>
      </c>
      <c r="B13" s="40" t="s">
        <v>10</v>
      </c>
      <c r="C13" s="40"/>
      <c r="D13" s="42"/>
      <c r="E13" s="43"/>
      <c r="F13" s="19"/>
      <c r="G13" s="19"/>
      <c r="H13" s="19"/>
      <c r="I13" s="19"/>
      <c r="J13" s="20"/>
      <c r="K13" s="93"/>
      <c r="L13" s="93"/>
    </row>
    <row r="14" spans="1:12" ht="16" customHeight="1" x14ac:dyDescent="0.35">
      <c r="A14" s="31">
        <v>14</v>
      </c>
      <c r="B14" s="40"/>
      <c r="C14" s="44" t="s">
        <v>11</v>
      </c>
      <c r="D14" s="45"/>
      <c r="E14" s="46" t="s">
        <v>12</v>
      </c>
      <c r="F14" s="19"/>
      <c r="G14" s="19"/>
      <c r="H14" s="19"/>
      <c r="I14" s="19"/>
      <c r="J14" s="20"/>
      <c r="K14" s="93"/>
      <c r="L14" s="93"/>
    </row>
    <row r="15" spans="1:12" ht="16" customHeight="1" x14ac:dyDescent="0.35">
      <c r="A15" s="31">
        <v>15</v>
      </c>
      <c r="B15" s="40"/>
      <c r="C15" s="40" t="s">
        <v>13</v>
      </c>
      <c r="D15" s="45"/>
      <c r="E15" s="46" t="s">
        <v>14</v>
      </c>
      <c r="F15" s="19"/>
      <c r="G15" s="19"/>
      <c r="H15" s="19"/>
      <c r="I15" s="19"/>
      <c r="J15" s="20"/>
      <c r="K15" s="93"/>
      <c r="L15" s="93"/>
    </row>
    <row r="16" spans="1:12" ht="16" customHeight="1" x14ac:dyDescent="0.35">
      <c r="A16" s="31">
        <v>16</v>
      </c>
      <c r="B16" s="40"/>
      <c r="C16" s="40" t="s">
        <v>15</v>
      </c>
      <c r="D16" s="47" t="s">
        <v>289</v>
      </c>
      <c r="E16" s="46" t="s">
        <v>16</v>
      </c>
      <c r="F16" s="12">
        <v>0</v>
      </c>
      <c r="G16" s="12">
        <v>1866</v>
      </c>
      <c r="H16" s="12">
        <v>0</v>
      </c>
      <c r="I16" s="12"/>
      <c r="J16" s="13"/>
      <c r="K16" s="93">
        <f t="shared" si="0"/>
        <v>622</v>
      </c>
      <c r="L16" s="93">
        <f t="shared" si="1"/>
        <v>622</v>
      </c>
    </row>
    <row r="17" spans="1:12" ht="16" customHeight="1" x14ac:dyDescent="0.35">
      <c r="A17" s="31">
        <v>17</v>
      </c>
      <c r="B17" s="347" t="s">
        <v>17</v>
      </c>
      <c r="C17" s="347"/>
      <c r="D17" s="347"/>
      <c r="E17" s="48">
        <v>2</v>
      </c>
      <c r="F17" s="12">
        <v>910081</v>
      </c>
      <c r="G17" s="12">
        <v>995031</v>
      </c>
      <c r="H17" s="12">
        <v>1318796</v>
      </c>
      <c r="I17" s="12">
        <v>1063221</v>
      </c>
      <c r="J17" s="13">
        <v>1009008</v>
      </c>
      <c r="K17" s="93">
        <f t="shared" si="0"/>
        <v>1074636</v>
      </c>
      <c r="L17" s="93">
        <f t="shared" si="1"/>
        <v>1059227.3999999999</v>
      </c>
    </row>
    <row r="18" spans="1:12" ht="16" customHeight="1" x14ac:dyDescent="0.35">
      <c r="A18" s="31">
        <v>18</v>
      </c>
      <c r="B18" s="40" t="s">
        <v>18</v>
      </c>
      <c r="C18" s="32"/>
      <c r="D18" s="49"/>
      <c r="E18" s="48" t="s">
        <v>19</v>
      </c>
      <c r="F18" s="12">
        <v>44993</v>
      </c>
      <c r="G18" s="12">
        <v>70976</v>
      </c>
      <c r="H18" s="12">
        <v>40401</v>
      </c>
      <c r="I18" s="12">
        <v>42002</v>
      </c>
      <c r="J18" s="13">
        <v>62291</v>
      </c>
      <c r="K18" s="93">
        <f t="shared" si="0"/>
        <v>52123.333333333336</v>
      </c>
      <c r="L18" s="93">
        <f t="shared" si="1"/>
        <v>52132.6</v>
      </c>
    </row>
    <row r="19" spans="1:12" ht="16" customHeight="1" x14ac:dyDescent="0.35">
      <c r="A19" s="31">
        <v>19</v>
      </c>
      <c r="B19" s="347" t="s">
        <v>20</v>
      </c>
      <c r="C19" s="347"/>
      <c r="D19" s="347"/>
      <c r="E19" s="48" t="s">
        <v>21</v>
      </c>
      <c r="F19" s="12">
        <v>21086</v>
      </c>
      <c r="G19" s="12">
        <v>21618</v>
      </c>
      <c r="H19" s="12">
        <v>0</v>
      </c>
      <c r="I19" s="12">
        <v>19294</v>
      </c>
      <c r="J19" s="13">
        <v>42123</v>
      </c>
      <c r="K19" s="93">
        <f t="shared" si="0"/>
        <v>14234.666666666666</v>
      </c>
      <c r="L19" s="93">
        <f t="shared" si="1"/>
        <v>20824.2</v>
      </c>
    </row>
    <row r="20" spans="1:12" ht="16" customHeight="1" x14ac:dyDescent="0.35">
      <c r="A20" s="31">
        <v>20</v>
      </c>
      <c r="B20" s="347" t="s">
        <v>22</v>
      </c>
      <c r="C20" s="347"/>
      <c r="D20" s="347"/>
      <c r="E20" s="48" t="s">
        <v>23</v>
      </c>
      <c r="F20" s="12">
        <v>0</v>
      </c>
      <c r="G20" s="12">
        <v>0</v>
      </c>
      <c r="H20" s="12">
        <v>0</v>
      </c>
      <c r="I20" s="12"/>
      <c r="J20" s="13"/>
      <c r="K20" s="93">
        <f t="shared" si="0"/>
        <v>0</v>
      </c>
      <c r="L20" s="93">
        <f t="shared" si="1"/>
        <v>0</v>
      </c>
    </row>
    <row r="21" spans="1:12" ht="16" customHeight="1" x14ac:dyDescent="0.35">
      <c r="A21" s="31">
        <v>21</v>
      </c>
      <c r="B21" s="347" t="s">
        <v>24</v>
      </c>
      <c r="C21" s="347"/>
      <c r="D21" s="347"/>
      <c r="E21" s="48" t="s">
        <v>25</v>
      </c>
      <c r="F21" s="12">
        <v>0</v>
      </c>
      <c r="G21" s="12">
        <v>0</v>
      </c>
      <c r="H21" s="12">
        <v>0</v>
      </c>
      <c r="I21" s="12"/>
      <c r="J21" s="13"/>
      <c r="K21" s="93">
        <f t="shared" si="0"/>
        <v>0</v>
      </c>
      <c r="L21" s="93">
        <f t="shared" si="1"/>
        <v>0</v>
      </c>
    </row>
    <row r="22" spans="1:12" ht="16" customHeight="1" x14ac:dyDescent="0.35">
      <c r="A22" s="31">
        <v>22</v>
      </c>
      <c r="B22" s="347" t="s">
        <v>26</v>
      </c>
      <c r="C22" s="347"/>
      <c r="D22" s="347"/>
      <c r="E22" s="48" t="s">
        <v>27</v>
      </c>
      <c r="F22" s="12">
        <v>0</v>
      </c>
      <c r="G22" s="12">
        <v>0</v>
      </c>
      <c r="H22" s="12">
        <v>4224</v>
      </c>
      <c r="I22" s="12">
        <v>20219</v>
      </c>
      <c r="J22" s="13">
        <v>6778</v>
      </c>
      <c r="K22" s="93">
        <f t="shared" si="0"/>
        <v>1408</v>
      </c>
      <c r="L22" s="93">
        <f t="shared" si="1"/>
        <v>6244.2</v>
      </c>
    </row>
    <row r="23" spans="1:12" ht="16" customHeight="1" x14ac:dyDescent="0.35">
      <c r="A23" s="31">
        <v>23</v>
      </c>
      <c r="B23" s="349" t="s">
        <v>28</v>
      </c>
      <c r="C23" s="349"/>
      <c r="D23" s="349"/>
      <c r="E23" s="48">
        <v>7</v>
      </c>
      <c r="F23" s="12">
        <v>0</v>
      </c>
      <c r="G23" s="12">
        <v>0</v>
      </c>
      <c r="H23" s="12">
        <v>0</v>
      </c>
      <c r="I23" s="12"/>
      <c r="J23" s="13">
        <v>500</v>
      </c>
      <c r="K23" s="93">
        <f t="shared" si="0"/>
        <v>0</v>
      </c>
      <c r="L23" s="93">
        <f t="shared" si="1"/>
        <v>125</v>
      </c>
    </row>
    <row r="24" spans="1:12" ht="16" customHeight="1" x14ac:dyDescent="0.35">
      <c r="A24" s="31">
        <v>24</v>
      </c>
      <c r="B24" s="350" t="s">
        <v>263</v>
      </c>
      <c r="C24" s="350"/>
      <c r="D24" s="350"/>
      <c r="E24" s="50">
        <v>4797</v>
      </c>
      <c r="F24" s="12">
        <v>38214</v>
      </c>
      <c r="G24" s="12">
        <v>56408</v>
      </c>
      <c r="H24" s="12">
        <v>54827</v>
      </c>
      <c r="I24" s="12">
        <v>67478</v>
      </c>
      <c r="J24" s="13">
        <v>41386</v>
      </c>
      <c r="K24" s="93">
        <f t="shared" si="0"/>
        <v>49816.333333333336</v>
      </c>
      <c r="L24" s="93">
        <f t="shared" si="1"/>
        <v>51662.6</v>
      </c>
    </row>
    <row r="25" spans="1:12" ht="16" customHeight="1" x14ac:dyDescent="0.35">
      <c r="A25" s="31">
        <v>25</v>
      </c>
      <c r="B25" s="350" t="s">
        <v>29</v>
      </c>
      <c r="C25" s="350"/>
      <c r="D25" s="350"/>
      <c r="E25" s="51"/>
      <c r="F25" s="12">
        <v>0</v>
      </c>
      <c r="G25" s="12">
        <v>0</v>
      </c>
      <c r="H25" s="12">
        <v>0</v>
      </c>
      <c r="I25" s="12"/>
      <c r="J25" s="13"/>
      <c r="K25" s="93">
        <f t="shared" si="0"/>
        <v>0</v>
      </c>
      <c r="L25" s="93">
        <f t="shared" si="1"/>
        <v>0</v>
      </c>
    </row>
    <row r="26" spans="1:12" ht="16" customHeight="1" x14ac:dyDescent="0.35">
      <c r="A26" s="31">
        <v>26</v>
      </c>
      <c r="B26" s="349" t="s">
        <v>63</v>
      </c>
      <c r="C26" s="349"/>
      <c r="D26" s="349"/>
      <c r="E26" s="48">
        <v>8</v>
      </c>
      <c r="F26" s="12">
        <v>3218</v>
      </c>
      <c r="G26" s="12">
        <v>3210</v>
      </c>
      <c r="H26" s="12">
        <v>3210</v>
      </c>
      <c r="I26" s="12">
        <v>3180</v>
      </c>
      <c r="J26" s="13">
        <v>3180</v>
      </c>
      <c r="K26" s="93">
        <f t="shared" si="0"/>
        <v>3212.6666666666665</v>
      </c>
      <c r="L26" s="93">
        <f t="shared" si="1"/>
        <v>3199.6</v>
      </c>
    </row>
    <row r="27" spans="1:12" ht="16" customHeight="1" x14ac:dyDescent="0.35">
      <c r="A27" s="31">
        <v>27</v>
      </c>
      <c r="B27" s="32"/>
      <c r="C27" s="33"/>
      <c r="D27" s="52" t="s">
        <v>30</v>
      </c>
      <c r="E27" s="53"/>
      <c r="F27" s="82">
        <f t="shared" ref="F27:H27" si="3">SUM(F16:F26)</f>
        <v>1017592</v>
      </c>
      <c r="G27" s="82">
        <f t="shared" si="3"/>
        <v>1149109</v>
      </c>
      <c r="H27" s="82">
        <f t="shared" si="3"/>
        <v>1421458</v>
      </c>
      <c r="I27" s="82">
        <f>SUM(I16:I26)</f>
        <v>1215394</v>
      </c>
      <c r="J27" s="83">
        <f>SUM(J16:J26)</f>
        <v>1165266</v>
      </c>
      <c r="K27" s="93">
        <f t="shared" si="0"/>
        <v>1196053</v>
      </c>
      <c r="L27" s="93">
        <f t="shared" si="1"/>
        <v>1193763.8</v>
      </c>
    </row>
    <row r="28" spans="1:12" ht="16" customHeight="1" x14ac:dyDescent="0.35">
      <c r="A28" s="31">
        <v>28</v>
      </c>
      <c r="B28" s="54" t="s">
        <v>31</v>
      </c>
      <c r="C28" s="55"/>
      <c r="D28" s="56"/>
      <c r="E28" s="53"/>
      <c r="F28" s="84"/>
      <c r="G28" s="84"/>
      <c r="H28" s="84"/>
      <c r="I28" s="84"/>
      <c r="J28" s="85"/>
      <c r="K28" s="93"/>
      <c r="L28" s="93"/>
    </row>
    <row r="29" spans="1:12" ht="16" customHeight="1" x14ac:dyDescent="0.35">
      <c r="A29" s="31">
        <v>29</v>
      </c>
      <c r="B29" s="32" t="s">
        <v>32</v>
      </c>
      <c r="C29" s="33"/>
      <c r="D29" s="39"/>
      <c r="E29" s="48"/>
      <c r="F29" s="84"/>
      <c r="G29" s="84"/>
      <c r="H29" s="84"/>
      <c r="I29" s="84"/>
      <c r="J29" s="85"/>
      <c r="K29" s="93"/>
      <c r="L29" s="93"/>
    </row>
    <row r="30" spans="1:12" ht="16" customHeight="1" x14ac:dyDescent="0.35">
      <c r="A30" s="31">
        <v>30</v>
      </c>
      <c r="B30" s="32"/>
      <c r="C30" s="2" t="s">
        <v>327</v>
      </c>
      <c r="D30" s="57"/>
      <c r="E30" s="58" t="s">
        <v>290</v>
      </c>
      <c r="F30" s="12">
        <v>113139</v>
      </c>
      <c r="G30" s="12">
        <v>103252</v>
      </c>
      <c r="H30" s="12">
        <v>102251</v>
      </c>
      <c r="I30" s="12">
        <v>122654</v>
      </c>
      <c r="J30" s="13">
        <v>97809</v>
      </c>
      <c r="K30" s="93">
        <f t="shared" si="0"/>
        <v>106214</v>
      </c>
      <c r="L30" s="93">
        <f t="shared" si="1"/>
        <v>107821</v>
      </c>
    </row>
    <row r="31" spans="1:12" ht="16" customHeight="1" x14ac:dyDescent="0.35">
      <c r="A31" s="31">
        <v>31</v>
      </c>
      <c r="B31" s="32"/>
      <c r="C31" s="2" t="s">
        <v>33</v>
      </c>
      <c r="D31" s="39"/>
      <c r="E31" s="48">
        <v>10</v>
      </c>
      <c r="F31" s="12">
        <v>1496</v>
      </c>
      <c r="G31" s="12">
        <v>1487</v>
      </c>
      <c r="H31" s="12">
        <v>1372</v>
      </c>
      <c r="I31" s="12"/>
      <c r="J31" s="13"/>
      <c r="K31" s="93">
        <f t="shared" si="0"/>
        <v>1451.6666666666667</v>
      </c>
      <c r="L31" s="93">
        <f t="shared" si="1"/>
        <v>1451.6666666666667</v>
      </c>
    </row>
    <row r="32" spans="1:12" ht="16" customHeight="1" x14ac:dyDescent="0.35">
      <c r="A32" s="31">
        <v>32</v>
      </c>
      <c r="B32" s="32"/>
      <c r="C32" s="2" t="s">
        <v>34</v>
      </c>
      <c r="D32" s="39"/>
      <c r="E32" s="48">
        <v>11</v>
      </c>
      <c r="F32" s="12">
        <v>10466</v>
      </c>
      <c r="G32" s="12">
        <v>0</v>
      </c>
      <c r="H32" s="12">
        <v>19848</v>
      </c>
      <c r="I32" s="12">
        <v>2211</v>
      </c>
      <c r="J32" s="13">
        <v>5950</v>
      </c>
      <c r="K32" s="93">
        <f t="shared" si="0"/>
        <v>10104.666666666666</v>
      </c>
      <c r="L32" s="93">
        <f t="shared" si="1"/>
        <v>7695</v>
      </c>
    </row>
    <row r="33" spans="1:12" ht="16" customHeight="1" x14ac:dyDescent="0.35">
      <c r="A33" s="31">
        <v>33</v>
      </c>
      <c r="B33" s="32"/>
      <c r="C33" s="2" t="s">
        <v>35</v>
      </c>
      <c r="D33" s="39"/>
      <c r="E33" s="48">
        <v>12</v>
      </c>
      <c r="F33" s="12">
        <v>0</v>
      </c>
      <c r="G33" s="12">
        <v>0</v>
      </c>
      <c r="H33" s="12">
        <v>10793</v>
      </c>
      <c r="I33" s="12"/>
      <c r="J33" s="13"/>
      <c r="K33" s="93">
        <f t="shared" si="0"/>
        <v>3597.6666666666665</v>
      </c>
      <c r="L33" s="93">
        <f t="shared" si="1"/>
        <v>3597.6666666666665</v>
      </c>
    </row>
    <row r="34" spans="1:12" ht="16" customHeight="1" x14ac:dyDescent="0.35">
      <c r="A34" s="31">
        <v>34</v>
      </c>
      <c r="B34" s="32"/>
      <c r="C34" s="2" t="s">
        <v>321</v>
      </c>
      <c r="D34" s="39"/>
      <c r="E34" s="48">
        <v>13</v>
      </c>
      <c r="F34" s="12">
        <v>22258</v>
      </c>
      <c r="G34" s="12">
        <v>37170</v>
      </c>
      <c r="H34" s="12">
        <v>0</v>
      </c>
      <c r="I34" s="12">
        <v>9324</v>
      </c>
      <c r="J34" s="13">
        <v>8033</v>
      </c>
      <c r="K34" s="93">
        <f t="shared" si="0"/>
        <v>19809.333333333332</v>
      </c>
      <c r="L34" s="93">
        <f t="shared" si="1"/>
        <v>15357</v>
      </c>
    </row>
    <row r="35" spans="1:12" ht="16" customHeight="1" x14ac:dyDescent="0.35">
      <c r="A35" s="31">
        <v>35</v>
      </c>
      <c r="B35" s="32"/>
      <c r="C35" s="2" t="s">
        <v>36</v>
      </c>
      <c r="D35" s="39"/>
      <c r="E35" s="48">
        <v>16</v>
      </c>
      <c r="F35" s="12">
        <v>406373</v>
      </c>
      <c r="G35" s="12">
        <v>464535</v>
      </c>
      <c r="H35" s="12">
        <v>491293</v>
      </c>
      <c r="I35" s="12">
        <v>428726</v>
      </c>
      <c r="J35" s="13">
        <v>404553</v>
      </c>
      <c r="K35" s="93">
        <f t="shared" si="0"/>
        <v>454067</v>
      </c>
      <c r="L35" s="93">
        <f t="shared" si="1"/>
        <v>439096</v>
      </c>
    </row>
    <row r="36" spans="1:12" ht="16" customHeight="1" x14ac:dyDescent="0.35">
      <c r="A36" s="31">
        <v>36</v>
      </c>
      <c r="B36" s="32"/>
      <c r="C36" s="2" t="s">
        <v>37</v>
      </c>
      <c r="D36" s="39"/>
      <c r="E36" s="48">
        <v>17</v>
      </c>
      <c r="F36" s="12">
        <v>27590</v>
      </c>
      <c r="G36" s="12">
        <v>1436</v>
      </c>
      <c r="H36" s="12">
        <v>68742</v>
      </c>
      <c r="I36" s="12">
        <v>49901</v>
      </c>
      <c r="J36" s="13">
        <v>49575</v>
      </c>
      <c r="K36" s="93">
        <f t="shared" si="0"/>
        <v>32589.333333333332</v>
      </c>
      <c r="L36" s="93">
        <f t="shared" si="1"/>
        <v>39448.800000000003</v>
      </c>
    </row>
    <row r="37" spans="1:12" ht="16" customHeight="1" x14ac:dyDescent="0.35">
      <c r="A37" s="31">
        <v>37</v>
      </c>
      <c r="B37" s="32"/>
      <c r="C37" s="2" t="s">
        <v>38</v>
      </c>
      <c r="D37" s="39"/>
      <c r="E37" s="48">
        <v>18</v>
      </c>
      <c r="F37" s="12">
        <v>23822</v>
      </c>
      <c r="G37" s="12">
        <v>24554</v>
      </c>
      <c r="H37" s="12">
        <v>25150</v>
      </c>
      <c r="I37" s="12">
        <v>26112</v>
      </c>
      <c r="J37" s="13">
        <v>25142</v>
      </c>
      <c r="K37" s="93">
        <f t="shared" si="0"/>
        <v>24508.666666666668</v>
      </c>
      <c r="L37" s="93">
        <f t="shared" si="1"/>
        <v>24956</v>
      </c>
    </row>
    <row r="38" spans="1:12" ht="16" customHeight="1" x14ac:dyDescent="0.35">
      <c r="A38" s="31">
        <v>38</v>
      </c>
      <c r="B38" s="32"/>
      <c r="C38" s="2" t="s">
        <v>39</v>
      </c>
      <c r="D38" s="39"/>
      <c r="E38" s="48">
        <v>19</v>
      </c>
      <c r="F38" s="12">
        <v>39357</v>
      </c>
      <c r="G38" s="12">
        <v>32903</v>
      </c>
      <c r="H38" s="12">
        <v>69409</v>
      </c>
      <c r="I38" s="12">
        <v>56716</v>
      </c>
      <c r="J38" s="13">
        <v>56638</v>
      </c>
      <c r="K38" s="93">
        <f t="shared" si="0"/>
        <v>47223</v>
      </c>
      <c r="L38" s="93">
        <f t="shared" si="1"/>
        <v>51004.6</v>
      </c>
    </row>
    <row r="39" spans="1:12" ht="16" customHeight="1" x14ac:dyDescent="0.35">
      <c r="A39" s="31">
        <v>39</v>
      </c>
      <c r="B39" s="32"/>
      <c r="C39" s="2" t="s">
        <v>40</v>
      </c>
      <c r="D39" s="39"/>
      <c r="E39" s="48">
        <v>20</v>
      </c>
      <c r="F39" s="12">
        <v>16497</v>
      </c>
      <c r="G39" s="12">
        <v>20954</v>
      </c>
      <c r="H39" s="12">
        <v>19006</v>
      </c>
      <c r="I39" s="12">
        <v>17408</v>
      </c>
      <c r="J39" s="13">
        <v>15879</v>
      </c>
      <c r="K39" s="93">
        <f t="shared" si="0"/>
        <v>18819</v>
      </c>
      <c r="L39" s="93">
        <f t="shared" si="1"/>
        <v>17948.8</v>
      </c>
    </row>
    <row r="40" spans="1:12" ht="16" customHeight="1" x14ac:dyDescent="0.35">
      <c r="A40" s="31">
        <v>40</v>
      </c>
      <c r="B40" s="32"/>
      <c r="C40" s="2" t="s">
        <v>41</v>
      </c>
      <c r="D40" s="39"/>
      <c r="E40" s="48" t="s">
        <v>42</v>
      </c>
      <c r="F40" s="12">
        <v>0</v>
      </c>
      <c r="G40" s="12">
        <v>0</v>
      </c>
      <c r="H40" s="12">
        <v>0</v>
      </c>
      <c r="I40" s="12"/>
      <c r="J40" s="13"/>
      <c r="K40" s="93">
        <f t="shared" si="0"/>
        <v>0</v>
      </c>
      <c r="L40" s="93">
        <f t="shared" si="1"/>
        <v>0</v>
      </c>
    </row>
    <row r="41" spans="1:12" ht="16" customHeight="1" x14ac:dyDescent="0.35">
      <c r="A41" s="31">
        <v>41</v>
      </c>
      <c r="B41" s="32"/>
      <c r="C41" s="2" t="s">
        <v>43</v>
      </c>
      <c r="D41" s="39"/>
      <c r="E41" s="48" t="s">
        <v>44</v>
      </c>
      <c r="F41" s="12">
        <v>11000</v>
      </c>
      <c r="G41" s="12">
        <v>11000</v>
      </c>
      <c r="H41" s="12">
        <v>11000</v>
      </c>
      <c r="I41" s="12">
        <v>11000</v>
      </c>
      <c r="J41" s="13">
        <v>13600</v>
      </c>
      <c r="K41" s="93">
        <f t="shared" si="0"/>
        <v>11000</v>
      </c>
      <c r="L41" s="93">
        <f t="shared" si="1"/>
        <v>11520</v>
      </c>
    </row>
    <row r="42" spans="1:12" ht="16" customHeight="1" x14ac:dyDescent="0.35">
      <c r="A42" s="31">
        <v>42</v>
      </c>
      <c r="B42" s="32"/>
      <c r="C42" s="2" t="s">
        <v>45</v>
      </c>
      <c r="D42" s="39"/>
      <c r="E42" s="48">
        <v>25</v>
      </c>
      <c r="F42" s="12">
        <v>55129</v>
      </c>
      <c r="G42" s="12">
        <v>45735</v>
      </c>
      <c r="H42" s="12">
        <v>43459</v>
      </c>
      <c r="I42" s="12">
        <v>53413</v>
      </c>
      <c r="J42" s="13">
        <v>38027</v>
      </c>
      <c r="K42" s="93">
        <f t="shared" si="0"/>
        <v>48107.666666666664</v>
      </c>
      <c r="L42" s="93">
        <f t="shared" si="1"/>
        <v>47152.6</v>
      </c>
    </row>
    <row r="43" spans="1:12" ht="16" customHeight="1" x14ac:dyDescent="0.35">
      <c r="A43" s="31">
        <v>43</v>
      </c>
      <c r="B43" s="32"/>
      <c r="C43" s="2" t="s">
        <v>46</v>
      </c>
      <c r="D43" s="39"/>
      <c r="E43" s="48">
        <v>26</v>
      </c>
      <c r="F43" s="12">
        <v>11339</v>
      </c>
      <c r="G43" s="12">
        <v>40714</v>
      </c>
      <c r="H43" s="12">
        <v>69709</v>
      </c>
      <c r="I43" s="12">
        <v>38947</v>
      </c>
      <c r="J43" s="13">
        <v>12587</v>
      </c>
      <c r="K43" s="93">
        <f t="shared" si="0"/>
        <v>40587.333333333336</v>
      </c>
      <c r="L43" s="93">
        <f t="shared" si="1"/>
        <v>34659.199999999997</v>
      </c>
    </row>
    <row r="44" spans="1:12" ht="16" customHeight="1" x14ac:dyDescent="0.35">
      <c r="A44" s="31">
        <v>44</v>
      </c>
      <c r="B44" s="32"/>
      <c r="C44" s="2" t="s">
        <v>47</v>
      </c>
      <c r="D44" s="39"/>
      <c r="E44" s="48">
        <v>27</v>
      </c>
      <c r="F44" s="12">
        <v>0</v>
      </c>
      <c r="G44" s="12">
        <v>177</v>
      </c>
      <c r="H44" s="12">
        <v>599</v>
      </c>
      <c r="I44" s="12"/>
      <c r="J44" s="13"/>
      <c r="K44" s="93">
        <f t="shared" si="0"/>
        <v>258.66666666666669</v>
      </c>
      <c r="L44" s="93">
        <f t="shared" si="1"/>
        <v>258.66666666666669</v>
      </c>
    </row>
    <row r="45" spans="1:12" ht="16" customHeight="1" x14ac:dyDescent="0.35">
      <c r="A45" s="31">
        <v>45</v>
      </c>
      <c r="B45" s="32"/>
      <c r="C45" s="2" t="s">
        <v>48</v>
      </c>
      <c r="D45" s="39"/>
      <c r="E45" s="48">
        <v>28</v>
      </c>
      <c r="F45" s="12">
        <v>36789</v>
      </c>
      <c r="G45" s="12">
        <v>26319</v>
      </c>
      <c r="H45" s="12">
        <v>55741</v>
      </c>
      <c r="I45" s="12">
        <v>44244</v>
      </c>
      <c r="J45" s="13">
        <v>41606</v>
      </c>
      <c r="K45" s="93">
        <f t="shared" si="0"/>
        <v>39616.333333333336</v>
      </c>
      <c r="L45" s="93">
        <f t="shared" si="1"/>
        <v>40939.800000000003</v>
      </c>
    </row>
    <row r="46" spans="1:12" ht="16" customHeight="1" x14ac:dyDescent="0.35">
      <c r="A46" s="31">
        <v>46</v>
      </c>
      <c r="B46" s="32"/>
      <c r="C46" s="2" t="s">
        <v>49</v>
      </c>
      <c r="D46" s="39"/>
      <c r="E46" s="48">
        <v>29</v>
      </c>
      <c r="F46" s="12">
        <v>11315</v>
      </c>
      <c r="G46" s="12">
        <v>34469</v>
      </c>
      <c r="H46" s="12">
        <v>37419</v>
      </c>
      <c r="I46" s="12">
        <v>26191</v>
      </c>
      <c r="J46" s="13">
        <v>15963</v>
      </c>
      <c r="K46" s="93">
        <f t="shared" si="0"/>
        <v>27734.333333333332</v>
      </c>
      <c r="L46" s="93">
        <f t="shared" si="1"/>
        <v>25071.4</v>
      </c>
    </row>
    <row r="47" spans="1:12" ht="16" customHeight="1" x14ac:dyDescent="0.35">
      <c r="A47" s="31">
        <v>47</v>
      </c>
      <c r="B47" s="32"/>
      <c r="C47" s="2" t="s">
        <v>50</v>
      </c>
      <c r="D47" s="39"/>
      <c r="E47" s="48">
        <v>30</v>
      </c>
      <c r="F47" s="12">
        <v>21782</v>
      </c>
      <c r="G47" s="12">
        <v>20054</v>
      </c>
      <c r="H47" s="12">
        <v>18254</v>
      </c>
      <c r="I47" s="12">
        <v>15626</v>
      </c>
      <c r="J47" s="13">
        <v>15200</v>
      </c>
      <c r="K47" s="93">
        <f t="shared" si="0"/>
        <v>20030</v>
      </c>
      <c r="L47" s="93">
        <f t="shared" si="1"/>
        <v>18183.2</v>
      </c>
    </row>
    <row r="48" spans="1:12" ht="16" customHeight="1" x14ac:dyDescent="0.35">
      <c r="A48" s="31">
        <v>48</v>
      </c>
      <c r="B48" s="32"/>
      <c r="C48" s="2" t="s">
        <v>51</v>
      </c>
      <c r="D48" s="39"/>
      <c r="E48" s="48">
        <v>31</v>
      </c>
      <c r="F48" s="12">
        <v>71258</v>
      </c>
      <c r="G48" s="12">
        <v>69326</v>
      </c>
      <c r="H48" s="12">
        <v>76481</v>
      </c>
      <c r="I48" s="12">
        <v>57030</v>
      </c>
      <c r="J48" s="13">
        <v>63893</v>
      </c>
      <c r="K48" s="93">
        <f t="shared" si="0"/>
        <v>72355</v>
      </c>
      <c r="L48" s="93">
        <f t="shared" si="1"/>
        <v>67597.600000000006</v>
      </c>
    </row>
    <row r="49" spans="1:12" ht="16" customHeight="1" x14ac:dyDescent="0.35">
      <c r="A49" s="31">
        <v>49</v>
      </c>
      <c r="B49" s="32"/>
      <c r="C49" s="2" t="s">
        <v>322</v>
      </c>
      <c r="D49" s="1"/>
      <c r="E49" s="59"/>
      <c r="F49" s="12">
        <v>0</v>
      </c>
      <c r="G49" s="12">
        <v>0</v>
      </c>
      <c r="H49" s="12">
        <v>0</v>
      </c>
      <c r="I49" s="12"/>
      <c r="J49" s="13"/>
      <c r="K49" s="93">
        <f t="shared" si="0"/>
        <v>0</v>
      </c>
      <c r="L49" s="93">
        <f t="shared" si="1"/>
        <v>0</v>
      </c>
    </row>
    <row r="50" spans="1:12" ht="16" customHeight="1" x14ac:dyDescent="0.35">
      <c r="A50" s="31">
        <v>50</v>
      </c>
      <c r="B50" s="32"/>
      <c r="C50" s="2" t="s">
        <v>52</v>
      </c>
      <c r="D50" s="39"/>
      <c r="E50" s="59"/>
      <c r="F50" s="12">
        <v>0</v>
      </c>
      <c r="G50" s="12">
        <v>0</v>
      </c>
      <c r="H50" s="12">
        <v>0</v>
      </c>
      <c r="I50" s="12"/>
      <c r="J50" s="13"/>
      <c r="K50" s="93">
        <f t="shared" si="0"/>
        <v>0</v>
      </c>
      <c r="L50" s="93">
        <f t="shared" si="1"/>
        <v>0</v>
      </c>
    </row>
    <row r="51" spans="1:12" ht="16" customHeight="1" x14ac:dyDescent="0.35">
      <c r="A51" s="31">
        <v>51</v>
      </c>
      <c r="B51" s="32"/>
      <c r="C51" s="2" t="s">
        <v>53</v>
      </c>
      <c r="D51" s="39"/>
      <c r="E51" s="59"/>
      <c r="F51" s="12">
        <v>0</v>
      </c>
      <c r="G51" s="12">
        <v>0</v>
      </c>
      <c r="H51" s="12">
        <v>0</v>
      </c>
      <c r="I51" s="12"/>
      <c r="J51" s="13"/>
      <c r="K51" s="93">
        <f t="shared" si="0"/>
        <v>0</v>
      </c>
      <c r="L51" s="93">
        <f t="shared" si="1"/>
        <v>0</v>
      </c>
    </row>
    <row r="52" spans="1:12" ht="16" customHeight="1" x14ac:dyDescent="0.35">
      <c r="A52" s="31">
        <v>52</v>
      </c>
      <c r="B52" s="16"/>
      <c r="C52" s="21"/>
      <c r="D52" s="40" t="s">
        <v>54</v>
      </c>
      <c r="E52" s="48" t="s">
        <v>55</v>
      </c>
      <c r="F52" s="12">
        <v>50595</v>
      </c>
      <c r="G52" s="12">
        <v>32958</v>
      </c>
      <c r="H52" s="12">
        <v>26826</v>
      </c>
      <c r="I52" s="12">
        <v>30324</v>
      </c>
      <c r="J52" s="13">
        <v>38402</v>
      </c>
      <c r="K52" s="93">
        <f t="shared" si="0"/>
        <v>36793</v>
      </c>
      <c r="L52" s="93">
        <f t="shared" si="1"/>
        <v>35821</v>
      </c>
    </row>
    <row r="53" spans="1:12" ht="16" customHeight="1" x14ac:dyDescent="0.35">
      <c r="A53" s="31">
        <v>53</v>
      </c>
      <c r="B53" s="16"/>
      <c r="C53" s="21"/>
      <c r="D53" s="40" t="s">
        <v>54</v>
      </c>
      <c r="E53" s="48" t="s">
        <v>56</v>
      </c>
      <c r="F53" s="12">
        <v>0</v>
      </c>
      <c r="G53" s="12">
        <v>0</v>
      </c>
      <c r="H53" s="12">
        <v>0</v>
      </c>
      <c r="I53" s="12"/>
      <c r="J53" s="13"/>
      <c r="K53" s="93">
        <f t="shared" si="0"/>
        <v>0</v>
      </c>
      <c r="L53" s="93">
        <f t="shared" si="1"/>
        <v>0</v>
      </c>
    </row>
    <row r="54" spans="1:12" ht="16" customHeight="1" x14ac:dyDescent="0.35">
      <c r="A54" s="31">
        <v>54</v>
      </c>
      <c r="B54" s="16"/>
      <c r="C54" s="21"/>
      <c r="D54" s="40" t="s">
        <v>54</v>
      </c>
      <c r="E54" s="48" t="s">
        <v>57</v>
      </c>
      <c r="F54" s="12">
        <v>0</v>
      </c>
      <c r="G54" s="12">
        <v>0</v>
      </c>
      <c r="H54" s="12">
        <v>0</v>
      </c>
      <c r="I54" s="12"/>
      <c r="J54" s="13"/>
      <c r="K54" s="93">
        <f t="shared" si="0"/>
        <v>0</v>
      </c>
      <c r="L54" s="93">
        <f t="shared" si="1"/>
        <v>0</v>
      </c>
    </row>
    <row r="55" spans="1:12" ht="16" customHeight="1" x14ac:dyDescent="0.35">
      <c r="A55" s="31">
        <v>55</v>
      </c>
      <c r="B55" s="16"/>
      <c r="C55" s="21"/>
      <c r="D55" s="40" t="s">
        <v>54</v>
      </c>
      <c r="E55" s="59"/>
      <c r="F55" s="12">
        <v>0</v>
      </c>
      <c r="G55" s="12">
        <v>0</v>
      </c>
      <c r="H55" s="12">
        <v>0</v>
      </c>
      <c r="I55" s="12"/>
      <c r="J55" s="13"/>
      <c r="K55" s="93">
        <f t="shared" si="0"/>
        <v>0</v>
      </c>
      <c r="L55" s="93">
        <f t="shared" si="1"/>
        <v>0</v>
      </c>
    </row>
    <row r="56" spans="1:12" ht="16" customHeight="1" x14ac:dyDescent="0.35">
      <c r="A56" s="31">
        <v>56</v>
      </c>
      <c r="B56" s="40"/>
      <c r="C56" s="40"/>
      <c r="D56" s="60" t="s">
        <v>58</v>
      </c>
      <c r="E56" s="53"/>
      <c r="F56" s="82">
        <f t="shared" ref="F56:H56" si="4">SUM(F30:F55)</f>
        <v>930205</v>
      </c>
      <c r="G56" s="82">
        <f t="shared" si="4"/>
        <v>967043</v>
      </c>
      <c r="H56" s="82">
        <f t="shared" si="4"/>
        <v>1147352</v>
      </c>
      <c r="I56" s="82">
        <f>SUM(I30:I55)</f>
        <v>989827</v>
      </c>
      <c r="J56" s="83">
        <f>SUM(J30:J55)</f>
        <v>902857</v>
      </c>
      <c r="K56" s="93">
        <f t="shared" si="0"/>
        <v>1014866.6666666666</v>
      </c>
      <c r="L56" s="93">
        <f t="shared" si="1"/>
        <v>987456.8</v>
      </c>
    </row>
    <row r="57" spans="1:12" ht="16" customHeight="1" x14ac:dyDescent="0.35">
      <c r="A57" s="31">
        <v>57</v>
      </c>
      <c r="B57" s="40"/>
      <c r="C57" s="32" t="s">
        <v>264</v>
      </c>
      <c r="D57" s="61"/>
      <c r="E57" s="62">
        <v>14</v>
      </c>
      <c r="F57" s="12">
        <v>63108</v>
      </c>
      <c r="G57" s="12">
        <v>128378</v>
      </c>
      <c r="H57" s="12">
        <v>239559</v>
      </c>
      <c r="I57" s="12">
        <v>102511</v>
      </c>
      <c r="J57" s="13">
        <v>164370</v>
      </c>
      <c r="K57" s="93">
        <f t="shared" si="0"/>
        <v>143681.66666666666</v>
      </c>
      <c r="L57" s="93">
        <f t="shared" si="1"/>
        <v>139585.20000000001</v>
      </c>
    </row>
    <row r="58" spans="1:12" ht="16" customHeight="1" x14ac:dyDescent="0.35">
      <c r="A58" s="31">
        <v>58</v>
      </c>
      <c r="B58" s="40"/>
      <c r="C58" s="40"/>
      <c r="D58" s="60" t="s">
        <v>59</v>
      </c>
      <c r="E58" s="53"/>
      <c r="F58" s="80">
        <f t="shared" ref="F58:H58" si="5">SUM(F56:F57)</f>
        <v>993313</v>
      </c>
      <c r="G58" s="80">
        <f t="shared" si="5"/>
        <v>1095421</v>
      </c>
      <c r="H58" s="80">
        <f t="shared" si="5"/>
        <v>1386911</v>
      </c>
      <c r="I58" s="80">
        <f>SUM(I56:I57)</f>
        <v>1092338</v>
      </c>
      <c r="J58" s="81">
        <f>SUM(J56:J57)</f>
        <v>1067227</v>
      </c>
      <c r="K58" s="93">
        <f t="shared" si="0"/>
        <v>1158548.3333333333</v>
      </c>
      <c r="L58" s="93">
        <f t="shared" si="1"/>
        <v>1127042</v>
      </c>
    </row>
    <row r="59" spans="1:12" ht="25" customHeight="1" x14ac:dyDescent="0.35">
      <c r="A59" s="31">
        <v>59</v>
      </c>
      <c r="B59" s="63" t="s">
        <v>60</v>
      </c>
      <c r="C59" s="64"/>
      <c r="D59" s="52"/>
      <c r="E59" s="53"/>
      <c r="F59" s="80"/>
      <c r="G59" s="80"/>
      <c r="H59" s="80"/>
      <c r="I59" s="80"/>
      <c r="J59" s="81"/>
      <c r="K59" s="93"/>
      <c r="L59" s="93"/>
    </row>
    <row r="60" spans="1:12" ht="16" customHeight="1" x14ac:dyDescent="0.35">
      <c r="A60" s="31">
        <v>60</v>
      </c>
      <c r="B60" s="32"/>
      <c r="C60" s="33"/>
      <c r="D60" s="52" t="s">
        <v>65</v>
      </c>
      <c r="E60" s="53"/>
      <c r="F60" s="80">
        <f>F27-F58</f>
        <v>24279</v>
      </c>
      <c r="G60" s="80">
        <f t="shared" ref="G60:J60" si="6">G27-G58</f>
        <v>53688</v>
      </c>
      <c r="H60" s="80">
        <f t="shared" si="6"/>
        <v>34547</v>
      </c>
      <c r="I60" s="80">
        <f t="shared" si="6"/>
        <v>123056</v>
      </c>
      <c r="J60" s="81">
        <f t="shared" si="6"/>
        <v>98039</v>
      </c>
      <c r="K60" s="93">
        <f t="shared" ref="K60" si="7">AVERAGE(F60:H60)</f>
        <v>37504.666666666664</v>
      </c>
      <c r="L60" s="93">
        <f t="shared" ref="L60" si="8">AVERAGE(F60:J60)</f>
        <v>66721.8</v>
      </c>
    </row>
    <row r="61" spans="1:12" ht="16" customHeight="1" x14ac:dyDescent="0.35">
      <c r="A61" s="31">
        <v>61</v>
      </c>
      <c r="B61" s="32"/>
      <c r="C61" s="65" t="s">
        <v>64</v>
      </c>
      <c r="D61" s="34"/>
      <c r="E61" s="66"/>
      <c r="F61" s="12">
        <v>71665</v>
      </c>
      <c r="G61" s="12">
        <v>44797</v>
      </c>
      <c r="H61" s="12">
        <v>50137</v>
      </c>
      <c r="I61" s="12">
        <v>54940</v>
      </c>
      <c r="J61" s="13">
        <v>56865</v>
      </c>
      <c r="K61" s="93">
        <f>AVERAGE(F61:H61)</f>
        <v>55533</v>
      </c>
      <c r="L61" s="93">
        <f>AVERAGE(F61:J61)</f>
        <v>55680.800000000003</v>
      </c>
    </row>
    <row r="62" spans="1:12" ht="16" customHeight="1" x14ac:dyDescent="0.35">
      <c r="A62" s="31">
        <v>62</v>
      </c>
      <c r="B62" s="32"/>
      <c r="C62" s="65" t="s">
        <v>61</v>
      </c>
      <c r="D62" s="39"/>
      <c r="E62" s="48"/>
      <c r="F62" s="12">
        <v>-9996</v>
      </c>
      <c r="G62" s="12">
        <v>31312</v>
      </c>
      <c r="H62" s="12">
        <v>692</v>
      </c>
      <c r="I62" s="12">
        <v>3161</v>
      </c>
      <c r="J62" s="13">
        <v>66</v>
      </c>
      <c r="K62" s="93">
        <f t="shared" si="0"/>
        <v>7336</v>
      </c>
      <c r="L62" s="93">
        <f t="shared" si="1"/>
        <v>5047</v>
      </c>
    </row>
    <row r="63" spans="1:12" ht="16" customHeight="1" x14ac:dyDescent="0.35">
      <c r="A63" s="31">
        <v>63</v>
      </c>
      <c r="B63" s="32"/>
      <c r="C63" s="65" t="s">
        <v>62</v>
      </c>
      <c r="D63" s="39"/>
      <c r="E63" s="48"/>
      <c r="F63" s="12">
        <v>0</v>
      </c>
      <c r="G63" s="12">
        <v>0</v>
      </c>
      <c r="H63" s="12">
        <v>0</v>
      </c>
      <c r="I63" s="12"/>
      <c r="J63" s="13"/>
      <c r="K63" s="93">
        <f t="shared" si="0"/>
        <v>0</v>
      </c>
      <c r="L63" s="93">
        <f t="shared" si="1"/>
        <v>0</v>
      </c>
    </row>
    <row r="64" spans="1:12" ht="16" customHeight="1" x14ac:dyDescent="0.35">
      <c r="A64" s="31">
        <v>64</v>
      </c>
      <c r="B64" s="32"/>
      <c r="C64" s="55"/>
      <c r="D64" s="52" t="s">
        <v>116</v>
      </c>
      <c r="E64" s="53"/>
      <c r="F64" s="78">
        <f>F60-F61+F62+F63</f>
        <v>-57382</v>
      </c>
      <c r="G64" s="78">
        <f t="shared" ref="G64:J64" si="9">G60-G61+G62+G63</f>
        <v>40203</v>
      </c>
      <c r="H64" s="78">
        <f t="shared" si="9"/>
        <v>-14898</v>
      </c>
      <c r="I64" s="78">
        <f t="shared" si="9"/>
        <v>71277</v>
      </c>
      <c r="J64" s="79">
        <f t="shared" si="9"/>
        <v>41240</v>
      </c>
      <c r="K64" s="93">
        <f t="shared" si="0"/>
        <v>-10692.333333333334</v>
      </c>
      <c r="L64" s="93">
        <f t="shared" si="1"/>
        <v>16088</v>
      </c>
    </row>
    <row r="65" spans="1:12" ht="16" customHeight="1" x14ac:dyDescent="0.35">
      <c r="A65" s="31">
        <v>65</v>
      </c>
      <c r="B65" s="32"/>
      <c r="C65" s="67" t="s">
        <v>267</v>
      </c>
      <c r="D65" s="68"/>
      <c r="E65" s="48"/>
      <c r="F65" s="12">
        <v>60000</v>
      </c>
      <c r="G65" s="12">
        <v>58000</v>
      </c>
      <c r="H65" s="12">
        <v>56000</v>
      </c>
      <c r="I65" s="12">
        <v>51000</v>
      </c>
      <c r="J65" s="13">
        <v>50000</v>
      </c>
      <c r="K65" s="93">
        <f t="shared" si="0"/>
        <v>58000</v>
      </c>
      <c r="L65" s="93">
        <f t="shared" si="1"/>
        <v>55000</v>
      </c>
    </row>
    <row r="66" spans="1:12" ht="16" customHeight="1" x14ac:dyDescent="0.35">
      <c r="A66" s="31">
        <v>66</v>
      </c>
      <c r="B66" s="32"/>
      <c r="C66" s="67" t="s">
        <v>266</v>
      </c>
      <c r="D66" s="68"/>
      <c r="E66" s="69"/>
      <c r="F66" s="12">
        <v>0</v>
      </c>
      <c r="G66" s="12">
        <v>0</v>
      </c>
      <c r="H66" s="12">
        <v>0</v>
      </c>
      <c r="I66" s="12"/>
      <c r="J66" s="13"/>
      <c r="K66" s="93">
        <f t="shared" si="0"/>
        <v>0</v>
      </c>
      <c r="L66" s="93">
        <f t="shared" si="1"/>
        <v>0</v>
      </c>
    </row>
    <row r="67" spans="1:12" ht="16" customHeight="1" x14ac:dyDescent="0.35">
      <c r="A67" s="31">
        <v>67</v>
      </c>
      <c r="B67" s="32"/>
      <c r="C67" s="67" t="s">
        <v>265</v>
      </c>
      <c r="D67" s="49"/>
      <c r="E67" s="69"/>
      <c r="F67" s="12">
        <v>0</v>
      </c>
      <c r="G67" s="12">
        <v>0</v>
      </c>
      <c r="H67" s="12">
        <v>0</v>
      </c>
      <c r="I67" s="12"/>
      <c r="J67" s="13"/>
      <c r="K67" s="93">
        <f t="shared" si="0"/>
        <v>0</v>
      </c>
      <c r="L67" s="93">
        <f t="shared" si="1"/>
        <v>0</v>
      </c>
    </row>
    <row r="68" spans="1:12" ht="16" customHeight="1" thickBot="1" x14ac:dyDescent="0.4">
      <c r="A68" s="70">
        <v>68</v>
      </c>
      <c r="B68" s="71"/>
      <c r="C68" s="72"/>
      <c r="D68" s="73" t="s">
        <v>117</v>
      </c>
      <c r="E68" s="74"/>
      <c r="F68" s="75">
        <f>SUM(F64:F67)</f>
        <v>2618</v>
      </c>
      <c r="G68" s="75">
        <f t="shared" ref="G68:J68" si="10">SUM(G64:G67)</f>
        <v>98203</v>
      </c>
      <c r="H68" s="75">
        <f t="shared" si="10"/>
        <v>41102</v>
      </c>
      <c r="I68" s="75">
        <f t="shared" si="10"/>
        <v>122277</v>
      </c>
      <c r="J68" s="76">
        <f t="shared" si="10"/>
        <v>91240</v>
      </c>
      <c r="K68" s="77">
        <f t="shared" si="0"/>
        <v>47307.666666666664</v>
      </c>
      <c r="L68" s="77">
        <f t="shared" si="1"/>
        <v>71088</v>
      </c>
    </row>
    <row r="69" spans="1:12" ht="16" customHeight="1" x14ac:dyDescent="0.35">
      <c r="A69" s="22"/>
      <c r="B69" s="23"/>
      <c r="C69" s="24"/>
      <c r="D69" s="25"/>
      <c r="E69" s="26"/>
      <c r="F69" s="27"/>
      <c r="G69" s="27"/>
      <c r="H69" s="27"/>
      <c r="I69" s="27"/>
      <c r="J69" s="27"/>
      <c r="K69" s="28"/>
      <c r="L69" s="28"/>
    </row>
  </sheetData>
  <sheetProtection sheet="1" objects="1" scenarios="1"/>
  <mergeCells count="11">
    <mergeCell ref="B22:D22"/>
    <mergeCell ref="B23:D23"/>
    <mergeCell ref="B24:D24"/>
    <mergeCell ref="B25:D25"/>
    <mergeCell ref="B26:D26"/>
    <mergeCell ref="B1:L1"/>
    <mergeCell ref="B21:D21"/>
    <mergeCell ref="B12:D12"/>
    <mergeCell ref="B17:D17"/>
    <mergeCell ref="B19:D19"/>
    <mergeCell ref="B20:D20"/>
  </mergeCells>
  <pageMargins left="0.25" right="0.25" top="0.5" bottom="0.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tabSelected="1" topLeftCell="A34" workbookViewId="0">
      <selection activeCell="H52" sqref="H52"/>
    </sheetView>
  </sheetViews>
  <sheetFormatPr defaultRowHeight="14.5" x14ac:dyDescent="0.35"/>
  <cols>
    <col min="1" max="1" width="3.36328125" style="3" customWidth="1"/>
    <col min="2" max="2" width="2.453125" style="3" customWidth="1"/>
    <col min="3" max="3" width="28.08984375" style="3" customWidth="1"/>
    <col min="4" max="4" width="8.81640625" style="3" customWidth="1"/>
    <col min="5" max="5" width="15.6328125" style="3" customWidth="1"/>
    <col min="6" max="6" width="14.36328125" style="3" customWidth="1"/>
    <col min="7" max="7" width="2.81640625" style="3" customWidth="1"/>
    <col min="8" max="8" width="11.7265625" style="3" customWidth="1"/>
    <col min="9" max="9" width="15.1796875" style="3" customWidth="1"/>
    <col min="10" max="16384" width="8.7265625" style="3"/>
  </cols>
  <sheetData>
    <row r="1" spans="1:9" ht="41" customHeight="1" thickTop="1" x14ac:dyDescent="0.45">
      <c r="A1" s="96">
        <v>1</v>
      </c>
      <c r="B1" s="351" t="s">
        <v>268</v>
      </c>
      <c r="C1" s="351"/>
      <c r="D1" s="351"/>
      <c r="E1" s="352"/>
      <c r="F1" s="394"/>
      <c r="G1" s="394"/>
      <c r="H1" s="394"/>
      <c r="I1" s="394"/>
    </row>
    <row r="2" spans="1:9" x14ac:dyDescent="0.35">
      <c r="A2" s="97">
        <v>2</v>
      </c>
      <c r="B2" s="98"/>
      <c r="C2" s="99"/>
      <c r="D2" s="100" t="s">
        <v>74</v>
      </c>
      <c r="E2" s="395">
        <v>2016</v>
      </c>
    </row>
    <row r="3" spans="1:9" ht="18.5" x14ac:dyDescent="0.35">
      <c r="A3" s="97">
        <v>3</v>
      </c>
      <c r="B3" s="101"/>
      <c r="C3" s="102"/>
      <c r="D3" s="103" t="s">
        <v>75</v>
      </c>
      <c r="E3" s="396">
        <v>42735</v>
      </c>
      <c r="F3" s="397"/>
      <c r="G3" s="398"/>
      <c r="H3" s="398"/>
      <c r="I3" s="398"/>
    </row>
    <row r="4" spans="1:9" ht="18.5" x14ac:dyDescent="0.35">
      <c r="A4" s="97">
        <v>4</v>
      </c>
      <c r="B4" s="104" t="s">
        <v>76</v>
      </c>
      <c r="C4" s="105"/>
      <c r="D4" s="106"/>
      <c r="E4" s="127" t="s">
        <v>77</v>
      </c>
      <c r="F4" s="399"/>
      <c r="G4" s="398"/>
      <c r="H4" s="398"/>
      <c r="I4" s="398"/>
    </row>
    <row r="5" spans="1:9" ht="18.5" x14ac:dyDescent="0.35">
      <c r="A5" s="97">
        <v>5</v>
      </c>
      <c r="B5" s="360" t="s">
        <v>78</v>
      </c>
      <c r="C5" s="360"/>
      <c r="D5" s="360"/>
      <c r="E5" s="126"/>
      <c r="F5" s="400"/>
      <c r="G5" s="398"/>
      <c r="H5" s="398"/>
      <c r="I5" s="398"/>
    </row>
    <row r="6" spans="1:9" x14ac:dyDescent="0.35">
      <c r="A6" s="97">
        <v>6</v>
      </c>
      <c r="B6" s="107"/>
      <c r="C6" s="365" t="s">
        <v>79</v>
      </c>
      <c r="D6" s="366"/>
      <c r="E6" s="401">
        <v>58259</v>
      </c>
      <c r="F6" s="402"/>
      <c r="G6" s="398"/>
      <c r="H6" s="398"/>
      <c r="I6" s="398"/>
    </row>
    <row r="7" spans="1:9" x14ac:dyDescent="0.35">
      <c r="A7" s="97">
        <v>7</v>
      </c>
      <c r="B7" s="107"/>
      <c r="C7" s="363" t="s">
        <v>269</v>
      </c>
      <c r="D7" s="364"/>
      <c r="E7" s="401"/>
      <c r="F7" s="402"/>
      <c r="G7" s="398"/>
      <c r="H7" s="398"/>
      <c r="I7" s="398"/>
    </row>
    <row r="8" spans="1:9" x14ac:dyDescent="0.35">
      <c r="A8" s="97">
        <v>8</v>
      </c>
      <c r="B8" s="107"/>
      <c r="C8" s="371" t="s">
        <v>270</v>
      </c>
      <c r="D8" s="372"/>
      <c r="E8" s="401"/>
      <c r="F8" s="402"/>
      <c r="G8" s="398"/>
      <c r="H8" s="398"/>
      <c r="I8" s="398"/>
    </row>
    <row r="9" spans="1:9" x14ac:dyDescent="0.35">
      <c r="A9" s="97">
        <v>9</v>
      </c>
      <c r="B9" s="107"/>
      <c r="C9" s="371" t="s">
        <v>271</v>
      </c>
      <c r="D9" s="372"/>
      <c r="E9" s="401"/>
      <c r="F9" s="402"/>
      <c r="G9" s="398"/>
      <c r="H9" s="398"/>
      <c r="I9" s="398"/>
    </row>
    <row r="10" spans="1:9" x14ac:dyDescent="0.35">
      <c r="A10" s="97">
        <v>10</v>
      </c>
      <c r="B10" s="107"/>
      <c r="C10" s="371" t="s">
        <v>272</v>
      </c>
      <c r="D10" s="372"/>
      <c r="E10" s="401">
        <v>369000</v>
      </c>
      <c r="F10" s="402"/>
      <c r="G10" s="398"/>
      <c r="H10" s="398"/>
      <c r="I10" s="398"/>
    </row>
    <row r="11" spans="1:9" x14ac:dyDescent="0.35">
      <c r="A11" s="97">
        <v>11</v>
      </c>
      <c r="B11" s="107"/>
      <c r="C11" s="369" t="s">
        <v>312</v>
      </c>
      <c r="D11" s="370"/>
      <c r="E11" s="401">
        <v>2400</v>
      </c>
      <c r="F11" s="402"/>
      <c r="G11" s="398"/>
      <c r="H11" s="398"/>
      <c r="I11" s="398"/>
    </row>
    <row r="12" spans="1:9" x14ac:dyDescent="0.35">
      <c r="A12" s="97">
        <v>12</v>
      </c>
      <c r="B12" s="107"/>
      <c r="C12" s="363" t="s">
        <v>273</v>
      </c>
      <c r="D12" s="364"/>
      <c r="E12" s="401"/>
      <c r="F12" s="402"/>
      <c r="G12" s="398"/>
      <c r="H12" s="398"/>
      <c r="I12" s="398"/>
    </row>
    <row r="13" spans="1:9" x14ac:dyDescent="0.35">
      <c r="A13" s="97">
        <v>13</v>
      </c>
      <c r="B13" s="107"/>
      <c r="C13" s="354" t="s">
        <v>80</v>
      </c>
      <c r="D13" s="355"/>
      <c r="E13" s="119">
        <f>SUM(E6:E12)</f>
        <v>429659</v>
      </c>
      <c r="F13" s="402"/>
      <c r="G13" s="398"/>
      <c r="H13" s="398"/>
      <c r="I13" s="398"/>
    </row>
    <row r="14" spans="1:9" ht="15.5" x14ac:dyDescent="0.35">
      <c r="A14" s="97">
        <v>14</v>
      </c>
      <c r="B14" s="360" t="s">
        <v>81</v>
      </c>
      <c r="C14" s="360"/>
      <c r="D14" s="360"/>
      <c r="E14" s="123"/>
      <c r="F14" s="403"/>
      <c r="G14" s="398"/>
      <c r="H14" s="398"/>
      <c r="I14" s="398"/>
    </row>
    <row r="15" spans="1:9" x14ac:dyDescent="0.35">
      <c r="A15" s="97">
        <v>15</v>
      </c>
      <c r="B15" s="107"/>
      <c r="C15" s="363" t="s">
        <v>274</v>
      </c>
      <c r="D15" s="364"/>
      <c r="E15" s="401">
        <v>366050</v>
      </c>
      <c r="F15" s="402"/>
      <c r="G15" s="398"/>
      <c r="H15" s="398"/>
      <c r="I15" s="398"/>
    </row>
    <row r="16" spans="1:9" x14ac:dyDescent="0.35">
      <c r="A16" s="97">
        <v>16</v>
      </c>
      <c r="B16" s="107"/>
      <c r="C16" s="363" t="s">
        <v>314</v>
      </c>
      <c r="D16" s="364"/>
      <c r="E16" s="401"/>
      <c r="F16" s="402"/>
      <c r="G16" s="398"/>
      <c r="H16" s="398"/>
      <c r="I16" s="398"/>
    </row>
    <row r="17" spans="1:9" x14ac:dyDescent="0.35">
      <c r="A17" s="97">
        <v>17</v>
      </c>
      <c r="B17" s="107"/>
      <c r="C17" s="365" t="s">
        <v>275</v>
      </c>
      <c r="D17" s="366"/>
      <c r="E17" s="401">
        <v>483500</v>
      </c>
      <c r="F17" s="402"/>
      <c r="G17" s="398"/>
      <c r="H17" s="398"/>
      <c r="I17" s="398"/>
    </row>
    <row r="18" spans="1:9" x14ac:dyDescent="0.35">
      <c r="A18" s="97">
        <v>18</v>
      </c>
      <c r="B18" s="107"/>
      <c r="C18" s="365" t="s">
        <v>319</v>
      </c>
      <c r="D18" s="366"/>
      <c r="E18" s="401">
        <v>475000</v>
      </c>
      <c r="F18" s="402"/>
      <c r="G18" s="398"/>
      <c r="H18" s="398"/>
      <c r="I18" s="398"/>
    </row>
    <row r="19" spans="1:9" x14ac:dyDescent="0.35">
      <c r="A19" s="97">
        <v>19</v>
      </c>
      <c r="B19" s="107"/>
      <c r="C19" s="371" t="s">
        <v>317</v>
      </c>
      <c r="D19" s="372"/>
      <c r="E19" s="401">
        <v>3195000</v>
      </c>
      <c r="F19" s="402"/>
      <c r="G19" s="398"/>
      <c r="H19" s="398"/>
      <c r="I19" s="398"/>
    </row>
    <row r="20" spans="1:9" x14ac:dyDescent="0.35">
      <c r="A20" s="97">
        <v>20</v>
      </c>
      <c r="B20" s="107"/>
      <c r="C20" s="371" t="s">
        <v>318</v>
      </c>
      <c r="D20" s="372"/>
      <c r="E20" s="401">
        <v>180000</v>
      </c>
      <c r="F20" s="402"/>
      <c r="G20" s="398"/>
      <c r="H20" s="398"/>
      <c r="I20" s="398"/>
    </row>
    <row r="21" spans="1:9" x14ac:dyDescent="0.35">
      <c r="A21" s="97">
        <v>21</v>
      </c>
      <c r="B21" s="107"/>
      <c r="C21" s="371" t="s">
        <v>315</v>
      </c>
      <c r="D21" s="372"/>
      <c r="E21" s="401"/>
      <c r="F21" s="402"/>
      <c r="G21" s="398"/>
      <c r="H21" s="398"/>
      <c r="I21" s="398"/>
    </row>
    <row r="22" spans="1:9" x14ac:dyDescent="0.35">
      <c r="A22" s="97">
        <v>22</v>
      </c>
      <c r="B22" s="108"/>
      <c r="C22" s="367" t="s">
        <v>276</v>
      </c>
      <c r="D22" s="368"/>
      <c r="E22" s="401">
        <v>398503</v>
      </c>
      <c r="F22" s="402"/>
      <c r="G22" s="398"/>
      <c r="H22" s="398"/>
      <c r="I22" s="398"/>
    </row>
    <row r="23" spans="1:9" x14ac:dyDescent="0.35">
      <c r="A23" s="97">
        <v>23</v>
      </c>
      <c r="B23" s="108"/>
      <c r="C23" s="354" t="s">
        <v>82</v>
      </c>
      <c r="D23" s="355"/>
      <c r="E23" s="124">
        <f>SUM(E15:E22)</f>
        <v>5098053</v>
      </c>
      <c r="F23" s="402"/>
      <c r="G23" s="398"/>
      <c r="H23" s="398"/>
      <c r="I23" s="398"/>
    </row>
    <row r="24" spans="1:9" ht="15" thickBot="1" x14ac:dyDescent="0.4">
      <c r="A24" s="97">
        <v>24</v>
      </c>
      <c r="B24" s="109"/>
      <c r="C24" s="356" t="s">
        <v>83</v>
      </c>
      <c r="D24" s="357"/>
      <c r="E24" s="125">
        <f>E13+E23</f>
        <v>5527712</v>
      </c>
      <c r="F24" s="402"/>
      <c r="G24" s="398"/>
      <c r="H24" s="398"/>
      <c r="I24" s="398"/>
    </row>
    <row r="25" spans="1:9" ht="19" thickTop="1" x14ac:dyDescent="0.35">
      <c r="A25" s="97">
        <v>25</v>
      </c>
      <c r="B25" s="110" t="s">
        <v>84</v>
      </c>
      <c r="C25" s="111"/>
      <c r="D25" s="112"/>
      <c r="E25" s="121"/>
      <c r="F25" s="402"/>
      <c r="G25" s="398"/>
      <c r="H25" s="398"/>
      <c r="I25" s="398"/>
    </row>
    <row r="26" spans="1:9" ht="18.5" x14ac:dyDescent="0.35">
      <c r="A26" s="97">
        <v>26</v>
      </c>
      <c r="B26" s="360" t="s">
        <v>85</v>
      </c>
      <c r="C26" s="360"/>
      <c r="D26" s="360"/>
      <c r="E26" s="126"/>
      <c r="F26" s="400"/>
      <c r="G26" s="398"/>
      <c r="H26" s="398"/>
      <c r="I26" s="398"/>
    </row>
    <row r="27" spans="1:9" x14ac:dyDescent="0.35">
      <c r="A27" s="97">
        <v>27</v>
      </c>
      <c r="B27" s="107"/>
      <c r="C27" s="361" t="s">
        <v>313</v>
      </c>
      <c r="D27" s="362"/>
      <c r="E27" s="404"/>
      <c r="F27" s="402"/>
      <c r="G27" s="398"/>
      <c r="H27" s="398"/>
      <c r="I27" s="398"/>
    </row>
    <row r="28" spans="1:9" x14ac:dyDescent="0.35">
      <c r="A28" s="97">
        <v>28</v>
      </c>
      <c r="B28" s="107"/>
      <c r="C28" s="361" t="s">
        <v>86</v>
      </c>
      <c r="D28" s="362"/>
      <c r="E28" s="404"/>
      <c r="F28" s="402"/>
      <c r="G28" s="398"/>
      <c r="H28" s="398"/>
      <c r="I28" s="398"/>
    </row>
    <row r="29" spans="1:9" x14ac:dyDescent="0.35">
      <c r="A29" s="97">
        <v>29</v>
      </c>
      <c r="B29" s="107"/>
      <c r="C29" s="361" t="s">
        <v>277</v>
      </c>
      <c r="D29" s="362"/>
      <c r="E29" s="404">
        <v>133143</v>
      </c>
      <c r="F29" s="402"/>
      <c r="G29" s="398"/>
      <c r="H29" s="398"/>
      <c r="I29" s="398"/>
    </row>
    <row r="30" spans="1:9" x14ac:dyDescent="0.35">
      <c r="A30" s="97">
        <v>30</v>
      </c>
      <c r="B30" s="107"/>
      <c r="C30" s="363" t="s">
        <v>320</v>
      </c>
      <c r="D30" s="364"/>
      <c r="E30" s="404">
        <v>74882</v>
      </c>
      <c r="F30" s="402"/>
      <c r="G30" s="398"/>
      <c r="H30" s="398"/>
      <c r="I30" s="398"/>
    </row>
    <row r="31" spans="1:9" x14ac:dyDescent="0.35">
      <c r="A31" s="97">
        <v>31</v>
      </c>
      <c r="B31" s="107"/>
      <c r="C31" s="363" t="s">
        <v>278</v>
      </c>
      <c r="D31" s="364"/>
      <c r="E31" s="404"/>
      <c r="F31" s="402"/>
      <c r="G31" s="398"/>
      <c r="H31" s="398"/>
      <c r="I31" s="398"/>
    </row>
    <row r="32" spans="1:9" x14ac:dyDescent="0.35">
      <c r="A32" s="97">
        <v>32</v>
      </c>
      <c r="B32" s="107"/>
      <c r="C32" s="363" t="s">
        <v>279</v>
      </c>
      <c r="D32" s="364"/>
      <c r="E32" s="404">
        <v>1116</v>
      </c>
      <c r="F32" s="402"/>
      <c r="G32" s="398"/>
      <c r="H32" s="398"/>
      <c r="I32" s="398"/>
    </row>
    <row r="33" spans="1:9" x14ac:dyDescent="0.35">
      <c r="A33" s="97">
        <v>33</v>
      </c>
      <c r="B33" s="107"/>
      <c r="C33" s="365" t="s">
        <v>280</v>
      </c>
      <c r="D33" s="366"/>
      <c r="E33" s="404"/>
      <c r="F33" s="402"/>
      <c r="G33" s="398"/>
      <c r="H33" s="398"/>
      <c r="I33" s="398"/>
    </row>
    <row r="34" spans="1:9" x14ac:dyDescent="0.35">
      <c r="A34" s="97">
        <v>34</v>
      </c>
      <c r="B34" s="107"/>
      <c r="C34" s="365" t="s">
        <v>281</v>
      </c>
      <c r="D34" s="366"/>
      <c r="E34" s="404"/>
      <c r="F34" s="402"/>
      <c r="G34" s="398"/>
      <c r="H34" s="398"/>
      <c r="I34" s="398"/>
    </row>
    <row r="35" spans="1:9" x14ac:dyDescent="0.35">
      <c r="A35" s="97">
        <v>35</v>
      </c>
      <c r="B35" s="107"/>
      <c r="C35" s="354" t="s">
        <v>87</v>
      </c>
      <c r="D35" s="355"/>
      <c r="E35" s="119">
        <f>SUM(E27:E34)</f>
        <v>209141</v>
      </c>
      <c r="F35" s="402"/>
      <c r="G35" s="398"/>
      <c r="H35" s="398"/>
      <c r="I35" s="398"/>
    </row>
    <row r="36" spans="1:9" ht="15.5" x14ac:dyDescent="0.35">
      <c r="A36" s="97">
        <v>36</v>
      </c>
      <c r="B36" s="360" t="s">
        <v>88</v>
      </c>
      <c r="C36" s="360"/>
      <c r="D36" s="360"/>
      <c r="E36" s="123"/>
      <c r="F36" s="403"/>
      <c r="G36" s="398"/>
      <c r="H36" s="398"/>
      <c r="I36" s="398"/>
    </row>
    <row r="37" spans="1:9" x14ac:dyDescent="0.35">
      <c r="A37" s="97">
        <v>37</v>
      </c>
      <c r="B37" s="107"/>
      <c r="C37" s="361" t="s">
        <v>277</v>
      </c>
      <c r="D37" s="362"/>
      <c r="E37" s="404"/>
      <c r="F37" s="402"/>
      <c r="G37" s="398"/>
      <c r="H37" s="398"/>
      <c r="I37" s="398"/>
    </row>
    <row r="38" spans="1:9" x14ac:dyDescent="0.35">
      <c r="A38" s="97">
        <v>38</v>
      </c>
      <c r="B38" s="107"/>
      <c r="C38" s="363" t="s">
        <v>282</v>
      </c>
      <c r="D38" s="364"/>
      <c r="E38" s="404">
        <v>1659592</v>
      </c>
      <c r="F38" s="402"/>
      <c r="G38" s="398"/>
      <c r="H38" s="398"/>
      <c r="I38" s="398"/>
    </row>
    <row r="39" spans="1:9" x14ac:dyDescent="0.35">
      <c r="A39" s="97">
        <v>39</v>
      </c>
      <c r="B39" s="107"/>
      <c r="C39" s="365" t="s">
        <v>316</v>
      </c>
      <c r="D39" s="366"/>
      <c r="E39" s="404">
        <v>-32000</v>
      </c>
      <c r="F39" s="402"/>
      <c r="G39" s="398"/>
      <c r="H39" s="398"/>
      <c r="I39" s="398"/>
    </row>
    <row r="40" spans="1:9" x14ac:dyDescent="0.35">
      <c r="A40" s="97">
        <v>40</v>
      </c>
      <c r="B40" s="107"/>
      <c r="C40" s="354" t="s">
        <v>89</v>
      </c>
      <c r="D40" s="355"/>
      <c r="E40" s="119">
        <f>SUM(E37:E39)</f>
        <v>1627592</v>
      </c>
      <c r="F40" s="402"/>
      <c r="G40" s="398"/>
      <c r="H40" s="398"/>
      <c r="I40" s="398"/>
    </row>
    <row r="41" spans="1:9" ht="15" thickBot="1" x14ac:dyDescent="0.4">
      <c r="A41" s="97">
        <v>41</v>
      </c>
      <c r="B41" s="113"/>
      <c r="C41" s="356" t="s">
        <v>90</v>
      </c>
      <c r="D41" s="357"/>
      <c r="E41" s="120">
        <f>E35+E40</f>
        <v>1836733</v>
      </c>
      <c r="F41" s="402"/>
      <c r="G41" s="398"/>
      <c r="H41" s="398"/>
      <c r="I41" s="398"/>
    </row>
    <row r="42" spans="1:9" ht="19" thickTop="1" x14ac:dyDescent="0.45">
      <c r="A42" s="97">
        <v>42</v>
      </c>
      <c r="B42" s="114" t="s">
        <v>91</v>
      </c>
      <c r="C42" s="115"/>
      <c r="D42" s="116"/>
      <c r="E42" s="121"/>
      <c r="F42" s="400"/>
      <c r="G42" s="398"/>
      <c r="H42" s="398"/>
      <c r="I42" s="398"/>
    </row>
    <row r="43" spans="1:9" ht="15" thickBot="1" x14ac:dyDescent="0.4">
      <c r="A43" s="117">
        <v>43</v>
      </c>
      <c r="B43" s="118"/>
      <c r="C43" s="358" t="s">
        <v>92</v>
      </c>
      <c r="D43" s="359"/>
      <c r="E43" s="122">
        <f>E24-E41</f>
        <v>3690979</v>
      </c>
      <c r="F43" s="402"/>
      <c r="G43" s="398"/>
      <c r="H43" s="398"/>
      <c r="I43" s="398"/>
    </row>
    <row r="44" spans="1:9" ht="15" thickTop="1" x14ac:dyDescent="0.35"/>
    <row r="46" spans="1:9" ht="18.5" x14ac:dyDescent="0.45">
      <c r="A46" s="128" t="s">
        <v>93</v>
      </c>
    </row>
    <row r="47" spans="1:9" ht="66.5" customHeight="1" x14ac:dyDescent="0.35">
      <c r="A47" s="129">
        <v>1</v>
      </c>
      <c r="B47" s="353" t="s">
        <v>286</v>
      </c>
      <c r="C47" s="353"/>
      <c r="D47" s="353"/>
      <c r="E47" s="353"/>
      <c r="F47" s="353"/>
      <c r="G47" s="353"/>
      <c r="H47" s="353"/>
    </row>
    <row r="48" spans="1:9" x14ac:dyDescent="0.35">
      <c r="A48" s="6"/>
      <c r="B48" s="6"/>
      <c r="C48" s="6" t="s">
        <v>329</v>
      </c>
      <c r="D48" s="6"/>
      <c r="E48" s="6"/>
      <c r="F48" s="6"/>
      <c r="G48" s="6"/>
      <c r="H48" s="130">
        <f>'Cash Earnings'!K27*0.05</f>
        <v>59802.65</v>
      </c>
    </row>
    <row r="49" spans="1:8" x14ac:dyDescent="0.35">
      <c r="A49" s="6"/>
      <c r="B49" s="6" t="s">
        <v>283</v>
      </c>
      <c r="C49" s="131" t="s">
        <v>330</v>
      </c>
      <c r="D49" s="12">
        <v>2000</v>
      </c>
      <c r="E49" s="132" t="s">
        <v>331</v>
      </c>
      <c r="F49" s="406">
        <v>10</v>
      </c>
      <c r="G49" s="6" t="s">
        <v>283</v>
      </c>
      <c r="H49" s="130">
        <f>D49*F49</f>
        <v>20000</v>
      </c>
    </row>
    <row r="50" spans="1:8" x14ac:dyDescent="0.35">
      <c r="A50" s="6"/>
      <c r="B50" s="6" t="s">
        <v>143</v>
      </c>
      <c r="C50" s="133" t="s">
        <v>332</v>
      </c>
      <c r="D50" s="134"/>
      <c r="E50" s="135"/>
      <c r="F50" s="6"/>
      <c r="G50" s="6" t="s">
        <v>143</v>
      </c>
      <c r="H50" s="130">
        <f>SUM(H48:H49)</f>
        <v>79802.649999999994</v>
      </c>
    </row>
    <row r="51" spans="1:8" x14ac:dyDescent="0.35">
      <c r="A51" s="6"/>
      <c r="B51" s="6" t="s">
        <v>284</v>
      </c>
      <c r="C51" s="131" t="s">
        <v>285</v>
      </c>
      <c r="D51" s="12">
        <v>53000</v>
      </c>
      <c r="E51" s="407"/>
      <c r="F51" s="407"/>
      <c r="G51" s="6" t="s">
        <v>284</v>
      </c>
      <c r="H51" s="130">
        <f>D51</f>
        <v>53000</v>
      </c>
    </row>
    <row r="52" spans="1:8" x14ac:dyDescent="0.35">
      <c r="A52" s="6"/>
      <c r="B52" s="6" t="s">
        <v>143</v>
      </c>
      <c r="C52" s="131" t="s">
        <v>144</v>
      </c>
      <c r="D52" s="134"/>
      <c r="E52" s="135"/>
      <c r="F52" s="407"/>
      <c r="G52" s="6" t="s">
        <v>143</v>
      </c>
      <c r="H52" s="130">
        <f>H50-H51</f>
        <v>26802.649999999994</v>
      </c>
    </row>
    <row r="53" spans="1:8" ht="15" thickBot="1" x14ac:dyDescent="0.4">
      <c r="G53" s="405"/>
      <c r="H53" s="405"/>
    </row>
    <row r="54" spans="1:8" ht="15" thickBot="1" x14ac:dyDescent="0.4">
      <c r="A54" s="6"/>
      <c r="B54" s="6"/>
      <c r="C54" s="6" t="s">
        <v>287</v>
      </c>
      <c r="D54" s="6"/>
      <c r="E54" s="6"/>
      <c r="F54" s="408">
        <v>26000</v>
      </c>
    </row>
    <row r="56" spans="1:8" ht="15" thickBot="1" x14ac:dyDescent="0.4"/>
    <row r="57" spans="1:8" ht="19" thickBot="1" x14ac:dyDescent="0.4">
      <c r="A57" s="129">
        <v>2</v>
      </c>
      <c r="B57" s="136" t="s">
        <v>229</v>
      </c>
      <c r="C57" s="6"/>
      <c r="D57" s="6"/>
      <c r="F57" s="409">
        <v>4.4999999999999998E-2</v>
      </c>
    </row>
  </sheetData>
  <sheetProtection sheet="1" objects="1" scenarios="1"/>
  <mergeCells count="39">
    <mergeCell ref="C10:D10"/>
    <mergeCell ref="B5:D5"/>
    <mergeCell ref="C6:D6"/>
    <mergeCell ref="C7:D7"/>
    <mergeCell ref="C8:D8"/>
    <mergeCell ref="C9:D9"/>
    <mergeCell ref="C22:D22"/>
    <mergeCell ref="C11:D11"/>
    <mergeCell ref="C12:D12"/>
    <mergeCell ref="C13:D13"/>
    <mergeCell ref="B14:D14"/>
    <mergeCell ref="C15:D15"/>
    <mergeCell ref="C16:D16"/>
    <mergeCell ref="C17:D17"/>
    <mergeCell ref="C18:D18"/>
    <mergeCell ref="C19:D19"/>
    <mergeCell ref="C20:D20"/>
    <mergeCell ref="C21:D21"/>
    <mergeCell ref="C24:D24"/>
    <mergeCell ref="B26:D26"/>
    <mergeCell ref="C27:D27"/>
    <mergeCell ref="C28:D28"/>
    <mergeCell ref="C29:D29"/>
    <mergeCell ref="B1:E1"/>
    <mergeCell ref="B47:H47"/>
    <mergeCell ref="C40:D40"/>
    <mergeCell ref="C41:D41"/>
    <mergeCell ref="C43:D43"/>
    <mergeCell ref="C35:D35"/>
    <mergeCell ref="B36:D36"/>
    <mergeCell ref="C37:D37"/>
    <mergeCell ref="C38:D38"/>
    <mergeCell ref="C39:D39"/>
    <mergeCell ref="C30:D30"/>
    <mergeCell ref="C31:D31"/>
    <mergeCell ref="C32:D32"/>
    <mergeCell ref="C33:D33"/>
    <mergeCell ref="C34:D34"/>
    <mergeCell ref="C23:D2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7"/>
  <sheetViews>
    <sheetView topLeftCell="A11" zoomScaleNormal="100" workbookViewId="0">
      <selection activeCell="A22" activeCellId="1" sqref="A1:H15 A22:G47"/>
    </sheetView>
  </sheetViews>
  <sheetFormatPr defaultRowHeight="14.5" x14ac:dyDescent="0.35"/>
  <cols>
    <col min="1" max="1" width="3" style="137" customWidth="1"/>
    <col min="2" max="2" width="42" style="3" customWidth="1"/>
    <col min="3" max="3" width="13.453125" style="3" customWidth="1"/>
    <col min="4" max="4" width="14.7265625" style="3" customWidth="1"/>
    <col min="5" max="5" width="14.6328125" style="3" customWidth="1"/>
    <col min="6" max="6" width="8.7265625" style="3"/>
    <col min="7" max="7" width="10.08984375" style="3" customWidth="1"/>
    <col min="8" max="16384" width="8.7265625" style="3"/>
  </cols>
  <sheetData>
    <row r="1" spans="1:8" x14ac:dyDescent="0.35">
      <c r="A1" s="139">
        <v>1</v>
      </c>
      <c r="B1" s="140"/>
      <c r="C1" s="141">
        <f>'Cash Earnings'!F2</f>
        <v>2016</v>
      </c>
      <c r="D1" s="140"/>
      <c r="E1" s="140"/>
      <c r="F1" s="140"/>
      <c r="G1" s="140"/>
      <c r="H1" s="142"/>
    </row>
    <row r="2" spans="1:8" ht="68" customHeight="1" x14ac:dyDescent="0.35">
      <c r="A2" s="143">
        <v>2</v>
      </c>
      <c r="B2" s="144"/>
      <c r="C2" s="145" t="s">
        <v>291</v>
      </c>
      <c r="D2" s="145" t="s">
        <v>292</v>
      </c>
      <c r="E2" s="145" t="s">
        <v>293</v>
      </c>
      <c r="F2" s="146" t="s">
        <v>106</v>
      </c>
      <c r="G2" s="147" t="s">
        <v>107</v>
      </c>
      <c r="H2" s="148" t="s">
        <v>108</v>
      </c>
    </row>
    <row r="3" spans="1:8" ht="15.5" x14ac:dyDescent="0.35">
      <c r="A3" s="31">
        <v>3</v>
      </c>
      <c r="B3" s="149" t="s">
        <v>150</v>
      </c>
      <c r="C3" s="150">
        <f>'Cash Earnings'!F60</f>
        <v>24279</v>
      </c>
      <c r="D3" s="150">
        <f>'Cash Earnings'!K60</f>
        <v>37504.666666666664</v>
      </c>
      <c r="E3" s="150">
        <f>'Cash Earnings'!L60</f>
        <v>66721.8</v>
      </c>
      <c r="F3" s="151"/>
      <c r="G3" s="152"/>
      <c r="H3" s="153"/>
    </row>
    <row r="4" spans="1:8" ht="15.5" x14ac:dyDescent="0.35">
      <c r="A4" s="31">
        <v>4</v>
      </c>
      <c r="B4" s="149" t="s">
        <v>115</v>
      </c>
      <c r="C4" s="150">
        <f>'Cash Earnings'!F64</f>
        <v>-57382</v>
      </c>
      <c r="D4" s="150">
        <f>'Cash Earnings'!K64</f>
        <v>-10692.333333333334</v>
      </c>
      <c r="E4" s="150">
        <f>'Cash Earnings'!L64</f>
        <v>16088</v>
      </c>
      <c r="F4" s="151"/>
      <c r="G4" s="152"/>
      <c r="H4" s="153"/>
    </row>
    <row r="5" spans="1:8" x14ac:dyDescent="0.35">
      <c r="A5" s="31">
        <v>5</v>
      </c>
      <c r="B5" s="154" t="s">
        <v>66</v>
      </c>
      <c r="C5" s="155">
        <f>('Current Balance Sheet'!E13-'Current Balance Sheet'!E35)/'Cash Earnings'!F27</f>
        <v>0.21670571309522874</v>
      </c>
      <c r="D5" s="155">
        <f>('Current Balance Sheet'!E13-'Current Balance Sheet'!E35)/'Cash Earnings'!K27</f>
        <v>0.18437142835643572</v>
      </c>
      <c r="E5" s="155">
        <f>('Current Balance Sheet'!E13-'Current Balance Sheet'!E35)/'Cash Earnings'!L27</f>
        <v>0.18472498495933617</v>
      </c>
      <c r="F5" s="156" t="s">
        <v>118</v>
      </c>
      <c r="G5" s="157" t="s">
        <v>119</v>
      </c>
      <c r="H5" s="158" t="s">
        <v>120</v>
      </c>
    </row>
    <row r="6" spans="1:8" x14ac:dyDescent="0.35">
      <c r="A6" s="31">
        <v>6</v>
      </c>
      <c r="B6" s="154" t="s">
        <v>70</v>
      </c>
      <c r="C6" s="155">
        <f>'Current Balance Sheet'!E41/'Current Balance Sheet'!E24</f>
        <v>0.33227726046508937</v>
      </c>
      <c r="D6" s="155">
        <f>'Current Balance Sheet'!E41/'Current Balance Sheet'!E24</f>
        <v>0.33227726046508937</v>
      </c>
      <c r="E6" s="155">
        <f>'Current Balance Sheet'!E41/'Current Balance Sheet'!E24</f>
        <v>0.33227726046508937</v>
      </c>
      <c r="F6" s="159" t="s">
        <v>121</v>
      </c>
      <c r="G6" s="160" t="s">
        <v>122</v>
      </c>
      <c r="H6" s="158" t="s">
        <v>123</v>
      </c>
    </row>
    <row r="7" spans="1:8" x14ac:dyDescent="0.35">
      <c r="A7" s="31">
        <v>7</v>
      </c>
      <c r="B7" s="154" t="s">
        <v>149</v>
      </c>
      <c r="C7" s="155">
        <f>('Cash Earnings'!F60-'Cash Earnings'!F61-'Current Balance Sheet'!F54)/'Current Balance Sheet'!E43</f>
        <v>-1.9882529811196432E-2</v>
      </c>
      <c r="D7" s="155">
        <f>('Cash Earnings'!K60-'Cash Earnings'!K61-'Current Balance Sheet'!F54)/'Current Balance Sheet'!E43</f>
        <v>-1.1928632846010052E-2</v>
      </c>
      <c r="E7" s="155">
        <f>('Cash Earnings'!L60-'Cash Earnings'!L61-'Current Balance Sheet'!F54)/'Current Balance Sheet'!E43</f>
        <v>-4.0528542698292239E-3</v>
      </c>
      <c r="F7" s="159" t="s">
        <v>139</v>
      </c>
      <c r="G7" s="160" t="s">
        <v>140</v>
      </c>
      <c r="H7" s="158" t="s">
        <v>135</v>
      </c>
    </row>
    <row r="8" spans="1:8" x14ac:dyDescent="0.35">
      <c r="A8" s="31">
        <v>8</v>
      </c>
      <c r="B8" s="154" t="s">
        <v>67</v>
      </c>
      <c r="C8" s="155">
        <f>('Cash Earnings'!F60-'Current Balance Sheet'!F54)/'Current Balance Sheet'!E24</f>
        <v>-3.1134038821125271E-4</v>
      </c>
      <c r="D8" s="155">
        <f>('Cash Earnings'!K60-'Current Balance Sheet'!F54)/'Current Balance Sheet'!E24</f>
        <v>2.0812709972347805E-3</v>
      </c>
      <c r="E8" s="155">
        <f>('Cash Earnings'!L60-'Current Balance Sheet'!F54)/'Current Balance Sheet'!E24</f>
        <v>7.3668454507036553E-3</v>
      </c>
      <c r="F8" s="159" t="s">
        <v>124</v>
      </c>
      <c r="G8" s="160" t="s">
        <v>125</v>
      </c>
      <c r="H8" s="158" t="s">
        <v>126</v>
      </c>
    </row>
    <row r="9" spans="1:8" x14ac:dyDescent="0.35">
      <c r="A9" s="31">
        <v>9</v>
      </c>
      <c r="B9" s="154" t="s">
        <v>68</v>
      </c>
      <c r="C9" s="155">
        <f>'Cash Earnings'!F27/'Current Balance Sheet'!E24</f>
        <v>0.1840891855436752</v>
      </c>
      <c r="D9" s="155">
        <f>'Cash Earnings'!K27/'Current Balance Sheet'!E24</f>
        <v>0.21637397172645753</v>
      </c>
      <c r="E9" s="155">
        <f>'Cash Earnings'!L27/'Current Balance Sheet'!E24</f>
        <v>0.21595984016533423</v>
      </c>
      <c r="F9" s="159" t="s">
        <v>123</v>
      </c>
      <c r="G9" s="160" t="s">
        <v>127</v>
      </c>
      <c r="H9" s="158" t="s">
        <v>128</v>
      </c>
    </row>
    <row r="10" spans="1:8" x14ac:dyDescent="0.35">
      <c r="A10" s="31">
        <v>10</v>
      </c>
      <c r="B10" s="154" t="s">
        <v>69</v>
      </c>
      <c r="C10" s="155">
        <f>('Cash Earnings'!F60-'Current Balance Sheet'!F54)/'Cash Earnings'!F27</f>
        <v>-1.6912475727010432E-3</v>
      </c>
      <c r="D10" s="155">
        <f>('Cash Earnings'!K60-'Current Balance Sheet'!F54)/'Cash Earnings'!K27</f>
        <v>9.6188602567500465E-3</v>
      </c>
      <c r="E10" s="155">
        <f>('Cash Earnings'!L60-'Current Balance Sheet'!F54)/'Cash Earnings'!L27</f>
        <v>3.4112108274685499E-2</v>
      </c>
      <c r="F10" s="159" t="s">
        <v>129</v>
      </c>
      <c r="G10" s="160" t="s">
        <v>130</v>
      </c>
      <c r="H10" s="158" t="s">
        <v>131</v>
      </c>
    </row>
    <row r="11" spans="1:8" x14ac:dyDescent="0.35">
      <c r="A11" s="31">
        <v>11</v>
      </c>
      <c r="B11" s="154" t="s">
        <v>71</v>
      </c>
      <c r="C11" s="155">
        <f>'Cash Earnings'!F56/'Cash Earnings'!F27</f>
        <v>0.91412373524949098</v>
      </c>
      <c r="D11" s="155">
        <f>'Cash Earnings'!K56/'Cash Earnings'!K27</f>
        <v>0.84851312330362172</v>
      </c>
      <c r="E11" s="155">
        <f>'Cash Earnings'!L56/'Cash Earnings'!L27</f>
        <v>0.82717938004151237</v>
      </c>
      <c r="F11" s="159" t="s">
        <v>132</v>
      </c>
      <c r="G11" s="160" t="s">
        <v>133</v>
      </c>
      <c r="H11" s="158" t="s">
        <v>134</v>
      </c>
    </row>
    <row r="12" spans="1:8" x14ac:dyDescent="0.35">
      <c r="A12" s="31">
        <v>12</v>
      </c>
      <c r="B12" s="154" t="s">
        <v>72</v>
      </c>
      <c r="C12" s="155">
        <f>'Cash Earnings'!F57/'Cash Earnings'!F27</f>
        <v>6.2016996988970036E-2</v>
      </c>
      <c r="D12" s="155">
        <f>'Cash Earnings'!K57/'Cash Earnings'!K27</f>
        <v>0.12012984931827156</v>
      </c>
      <c r="E12" s="155">
        <f>'Cash Earnings'!L57/'Cash Earnings'!L27</f>
        <v>0.11692865875142135</v>
      </c>
      <c r="F12" s="159" t="s">
        <v>135</v>
      </c>
      <c r="G12" s="160" t="s">
        <v>136</v>
      </c>
      <c r="H12" s="158" t="s">
        <v>137</v>
      </c>
    </row>
    <row r="13" spans="1:8" x14ac:dyDescent="0.35">
      <c r="A13" s="31">
        <v>13</v>
      </c>
      <c r="B13" s="154" t="s">
        <v>73</v>
      </c>
      <c r="C13" s="155">
        <f>'Cash Earnings'!F61/'Cash Earnings'!F27</f>
        <v>7.0426064670319741E-2</v>
      </c>
      <c r="D13" s="155">
        <f>'Cash Earnings'!K61/'Cash Earnings'!K27</f>
        <v>4.6430216721165367E-2</v>
      </c>
      <c r="E13" s="155">
        <f>'Cash Earnings'!L61/'Cash Earnings'!L27</f>
        <v>4.6643062890665644E-2</v>
      </c>
      <c r="F13" s="159" t="s">
        <v>135</v>
      </c>
      <c r="G13" s="160" t="s">
        <v>136</v>
      </c>
      <c r="H13" s="158" t="s">
        <v>137</v>
      </c>
    </row>
    <row r="14" spans="1:8" ht="15" thickBot="1" x14ac:dyDescent="0.4">
      <c r="A14" s="70">
        <v>14</v>
      </c>
      <c r="B14" s="161" t="s">
        <v>146</v>
      </c>
      <c r="C14" s="162">
        <f>C36</f>
        <v>0.76380166426547802</v>
      </c>
      <c r="D14" s="162">
        <f t="shared" ref="D14:E14" si="0">D36</f>
        <v>1.3414292815429572</v>
      </c>
      <c r="E14" s="162">
        <f t="shared" si="0"/>
        <v>1.4806188324393619</v>
      </c>
      <c r="F14" s="163" t="s">
        <v>109</v>
      </c>
      <c r="G14" s="164" t="s">
        <v>110</v>
      </c>
      <c r="H14" s="165" t="s">
        <v>111</v>
      </c>
    </row>
    <row r="15" spans="1:8" ht="36.5" customHeight="1" x14ac:dyDescent="0.35">
      <c r="A15" s="166"/>
      <c r="B15" s="374" t="s">
        <v>253</v>
      </c>
      <c r="C15" s="374"/>
      <c r="D15" s="374"/>
      <c r="E15" s="374"/>
      <c r="F15" s="374"/>
      <c r="G15" s="374"/>
      <c r="H15" s="374"/>
    </row>
    <row r="21" spans="1:7" ht="15" thickBot="1" x14ac:dyDescent="0.4"/>
    <row r="22" spans="1:7" ht="18.5" x14ac:dyDescent="0.35">
      <c r="A22" s="167"/>
      <c r="B22" s="168" t="s">
        <v>94</v>
      </c>
      <c r="C22" s="168"/>
      <c r="D22" s="169"/>
      <c r="E22" s="170"/>
      <c r="F22" s="6"/>
      <c r="G22" s="6"/>
    </row>
    <row r="23" spans="1:7" x14ac:dyDescent="0.35">
      <c r="A23" s="171"/>
      <c r="B23" s="40"/>
      <c r="C23" s="40"/>
      <c r="D23" s="172"/>
      <c r="E23" s="173"/>
      <c r="F23" s="6"/>
      <c r="G23" s="6"/>
    </row>
    <row r="24" spans="1:7" x14ac:dyDescent="0.35">
      <c r="A24" s="31">
        <v>1</v>
      </c>
      <c r="B24" s="40" t="s">
        <v>95</v>
      </c>
      <c r="C24" s="174">
        <f>'Cash Earnings'!F64</f>
        <v>-57382</v>
      </c>
      <c r="D24" s="174">
        <f>'Cash Earnings'!K64</f>
        <v>-10692.333333333334</v>
      </c>
      <c r="E24" s="175">
        <f>'Cash Earnings'!L64</f>
        <v>16088</v>
      </c>
      <c r="F24" s="6"/>
      <c r="G24" s="6"/>
    </row>
    <row r="25" spans="1:7" x14ac:dyDescent="0.35">
      <c r="A25" s="31">
        <v>2</v>
      </c>
      <c r="B25" s="40" t="s">
        <v>96</v>
      </c>
      <c r="C25" s="174">
        <f>'Cash Earnings'!F65</f>
        <v>60000</v>
      </c>
      <c r="D25" s="174">
        <f>'Cash Earnings'!K65</f>
        <v>58000</v>
      </c>
      <c r="E25" s="175">
        <f>'Cash Earnings'!L65</f>
        <v>55000</v>
      </c>
      <c r="F25" s="6"/>
      <c r="G25" s="6"/>
    </row>
    <row r="26" spans="1:7" x14ac:dyDescent="0.35">
      <c r="A26" s="31">
        <v>3</v>
      </c>
      <c r="B26" s="40" t="s">
        <v>97</v>
      </c>
      <c r="C26" s="174">
        <f>'Cash Earnings'!F57</f>
        <v>63108</v>
      </c>
      <c r="D26" s="174">
        <f>'Cash Earnings'!K57</f>
        <v>143681.66666666666</v>
      </c>
      <c r="E26" s="175">
        <f>'Cash Earnings'!L57</f>
        <v>139585.20000000001</v>
      </c>
      <c r="F26" s="6"/>
      <c r="G26" s="6"/>
    </row>
    <row r="27" spans="1:7" x14ac:dyDescent="0.35">
      <c r="A27" s="31">
        <v>4</v>
      </c>
      <c r="B27" s="40" t="s">
        <v>98</v>
      </c>
      <c r="C27" s="174">
        <f>'Cash Earnings'!F61</f>
        <v>71665</v>
      </c>
      <c r="D27" s="174">
        <f>'Cash Earnings'!K61</f>
        <v>55533</v>
      </c>
      <c r="E27" s="175">
        <f>'Cash Earnings'!L61</f>
        <v>55680.800000000003</v>
      </c>
      <c r="F27" s="6"/>
      <c r="G27" s="6"/>
    </row>
    <row r="28" spans="1:7" x14ac:dyDescent="0.35">
      <c r="A28" s="31">
        <v>5</v>
      </c>
      <c r="B28" s="40" t="s">
        <v>99</v>
      </c>
      <c r="C28" s="174">
        <f>'Cash Earnings'!F62</f>
        <v>-9996</v>
      </c>
      <c r="D28" s="174">
        <f>'Cash Earnings'!K62</f>
        <v>7336</v>
      </c>
      <c r="E28" s="175">
        <f>'Cash Earnings'!L62</f>
        <v>5047</v>
      </c>
      <c r="F28" s="6"/>
      <c r="G28" s="6"/>
    </row>
    <row r="29" spans="1:7" ht="16.5" x14ac:dyDescent="0.35">
      <c r="A29" s="176">
        <v>6</v>
      </c>
      <c r="B29" s="60" t="s">
        <v>100</v>
      </c>
      <c r="C29" s="177">
        <f>SUM(C24:C27)-C28</f>
        <v>147387</v>
      </c>
      <c r="D29" s="177">
        <f>SUM(D24:D27)-D28</f>
        <v>239186.33333333331</v>
      </c>
      <c r="E29" s="178">
        <f>SUM(E24:E27)-E28</f>
        <v>261307</v>
      </c>
      <c r="F29" s="6"/>
      <c r="G29" s="6"/>
    </row>
    <row r="30" spans="1:7" x14ac:dyDescent="0.35">
      <c r="A30" s="31">
        <v>7</v>
      </c>
      <c r="B30" s="179" t="s">
        <v>101</v>
      </c>
      <c r="C30" s="174">
        <f>'Cash Earnings'!F66</f>
        <v>0</v>
      </c>
      <c r="D30" s="174">
        <f>'Cash Earnings'!K66</f>
        <v>0</v>
      </c>
      <c r="E30" s="175">
        <f>'Cash Earnings'!L66</f>
        <v>0</v>
      </c>
      <c r="F30" s="6"/>
      <c r="G30" s="6"/>
    </row>
    <row r="31" spans="1:7" x14ac:dyDescent="0.35">
      <c r="A31" s="31">
        <v>8</v>
      </c>
      <c r="B31" s="40" t="s">
        <v>102</v>
      </c>
      <c r="C31" s="174">
        <f>'Current Balance Sheet'!F54</f>
        <v>26000</v>
      </c>
      <c r="D31" s="174">
        <f>'Current Balance Sheet'!F54</f>
        <v>26000</v>
      </c>
      <c r="E31" s="175">
        <f>'Current Balance Sheet'!F54</f>
        <v>26000</v>
      </c>
      <c r="F31" s="6"/>
      <c r="G31" s="6"/>
    </row>
    <row r="32" spans="1:7" x14ac:dyDescent="0.35">
      <c r="A32" s="31">
        <v>9</v>
      </c>
      <c r="B32" s="40" t="s">
        <v>103</v>
      </c>
      <c r="C32" s="174">
        <f>'Cash Earnings'!F67</f>
        <v>0</v>
      </c>
      <c r="D32" s="174">
        <f>'Cash Earnings'!K67</f>
        <v>0</v>
      </c>
      <c r="E32" s="175">
        <f>'Cash Earnings'!L67</f>
        <v>0</v>
      </c>
      <c r="F32" s="6"/>
      <c r="G32" s="6"/>
    </row>
    <row r="33" spans="1:7" ht="16.5" x14ac:dyDescent="0.35">
      <c r="A33" s="176">
        <v>10</v>
      </c>
      <c r="B33" s="60" t="s">
        <v>104</v>
      </c>
      <c r="C33" s="177">
        <f>C29-C30-C31-C32</f>
        <v>121387</v>
      </c>
      <c r="D33" s="177">
        <f>D29-D30-D31-D32</f>
        <v>213186.33333333331</v>
      </c>
      <c r="E33" s="178">
        <f>E29-E30-E31-E32</f>
        <v>235307</v>
      </c>
      <c r="F33" s="6"/>
      <c r="G33" s="6"/>
    </row>
    <row r="34" spans="1:7" ht="16.5" x14ac:dyDescent="0.35">
      <c r="A34" s="31">
        <v>11</v>
      </c>
      <c r="B34" s="40" t="s">
        <v>246</v>
      </c>
      <c r="C34" s="180">
        <f>'Current Balance Sheet'!E30</f>
        <v>74882</v>
      </c>
      <c r="D34" s="180">
        <f>'Current Balance Sheet'!E30</f>
        <v>74882</v>
      </c>
      <c r="E34" s="181">
        <f>'Current Balance Sheet'!E30</f>
        <v>74882</v>
      </c>
      <c r="F34" s="6"/>
      <c r="G34" s="6"/>
    </row>
    <row r="35" spans="1:7" ht="16.5" x14ac:dyDescent="0.35">
      <c r="A35" s="31">
        <v>12</v>
      </c>
      <c r="B35" s="40" t="s">
        <v>247</v>
      </c>
      <c r="C35" s="180">
        <f>('Current Balance Sheet'!E30+'Current Balance Sheet'!E29+'Current Balance Sheet'!E38)*'Current Balance Sheet'!F57</f>
        <v>84042.764999999999</v>
      </c>
      <c r="D35" s="180">
        <f>('Current Balance Sheet'!E30+'Current Balance Sheet'!E29+'Current Balance Sheet'!E38)*'Current Balance Sheet'!F57</f>
        <v>84042.764999999999</v>
      </c>
      <c r="E35" s="181">
        <f>('Current Balance Sheet'!E30+'Current Balance Sheet'!E29+'Current Balance Sheet'!E38)*'Current Balance Sheet'!F57</f>
        <v>84042.764999999999</v>
      </c>
      <c r="F35" s="6"/>
      <c r="G35" s="6"/>
    </row>
    <row r="36" spans="1:7" ht="29" x14ac:dyDescent="0.35">
      <c r="A36" s="31">
        <v>13</v>
      </c>
      <c r="B36" s="182" t="s">
        <v>145</v>
      </c>
      <c r="C36" s="183">
        <f>C33/(C34+C35)</f>
        <v>0.76380166426547802</v>
      </c>
      <c r="D36" s="183">
        <f>D33/(D34+D35)</f>
        <v>1.3414292815429572</v>
      </c>
      <c r="E36" s="184">
        <f>E33/(E34+E35)</f>
        <v>1.4806188324393619</v>
      </c>
      <c r="F36" s="6"/>
      <c r="G36" s="6"/>
    </row>
    <row r="37" spans="1:7" ht="29" x14ac:dyDescent="0.35">
      <c r="A37" s="31">
        <v>14</v>
      </c>
      <c r="B37" s="182" t="s">
        <v>239</v>
      </c>
      <c r="C37" s="185">
        <f>C33-C34-C35</f>
        <v>-37537.764999999999</v>
      </c>
      <c r="D37" s="185">
        <f>D33-D34-D35</f>
        <v>54261.568333333315</v>
      </c>
      <c r="E37" s="186">
        <f>E33-E34-E35</f>
        <v>76382.235000000001</v>
      </c>
      <c r="F37" s="6"/>
      <c r="G37" s="6"/>
    </row>
    <row r="38" spans="1:7" ht="16.5" x14ac:dyDescent="0.35">
      <c r="A38" s="31">
        <v>15</v>
      </c>
      <c r="B38" s="182" t="s">
        <v>300</v>
      </c>
      <c r="C38" s="187">
        <f>('Cash Earnings'!F57*(1-('Current Balance Sheet'!E40/('Current Balance Sheet'!E23-'Current Balance Sheet'!E15))))</f>
        <v>41401.742430847989</v>
      </c>
      <c r="D38" s="187">
        <f>('Cash Earnings'!K57*(1-('Current Balance Sheet'!E40/('Current Balance Sheet'!E23-'Current Balance Sheet'!E15))))</f>
        <v>94261.763252967779</v>
      </c>
      <c r="E38" s="188">
        <f>('Cash Earnings'!L57*(1-('Current Balance Sheet'!E40/('Current Balance Sheet'!E23-'Current Balance Sheet'!E15))))</f>
        <v>91574.293236331432</v>
      </c>
      <c r="F38" s="6"/>
      <c r="G38" s="6"/>
    </row>
    <row r="39" spans="1:7" x14ac:dyDescent="0.35">
      <c r="A39" s="31">
        <v>16</v>
      </c>
      <c r="B39" s="182" t="s">
        <v>299</v>
      </c>
      <c r="C39" s="185">
        <f>C37-C38</f>
        <v>-78939.507430847996</v>
      </c>
      <c r="D39" s="185">
        <f t="shared" ref="D39:E39" si="1">D37-D38</f>
        <v>-40000.194919634465</v>
      </c>
      <c r="E39" s="186">
        <f t="shared" si="1"/>
        <v>-15192.058236331432</v>
      </c>
      <c r="F39" s="6"/>
      <c r="G39" s="6"/>
    </row>
    <row r="40" spans="1:7" ht="17" thickBot="1" x14ac:dyDescent="0.4">
      <c r="A40" s="70">
        <v>17</v>
      </c>
      <c r="B40" s="189" t="s">
        <v>301</v>
      </c>
      <c r="C40" s="190" t="str">
        <f>IF(C37&gt;C38,"Yes","No")</f>
        <v>No</v>
      </c>
      <c r="D40" s="190" t="str">
        <f t="shared" ref="D40:E40" si="2">IF(D37&gt;D38,"Yes","No")</f>
        <v>No</v>
      </c>
      <c r="E40" s="191" t="str">
        <f t="shared" si="2"/>
        <v>No</v>
      </c>
      <c r="F40" s="6"/>
      <c r="G40" s="6"/>
    </row>
    <row r="41" spans="1:7" x14ac:dyDescent="0.35">
      <c r="A41" s="192"/>
      <c r="B41" s="193"/>
      <c r="C41" s="193"/>
      <c r="D41" s="194"/>
      <c r="E41" s="194"/>
      <c r="F41" s="6"/>
      <c r="G41" s="6"/>
    </row>
    <row r="42" spans="1:7" x14ac:dyDescent="0.35">
      <c r="A42" s="194" t="s">
        <v>113</v>
      </c>
      <c r="B42" s="194"/>
      <c r="C42" s="194"/>
      <c r="D42" s="194"/>
      <c r="E42" s="194"/>
      <c r="F42" s="6"/>
      <c r="G42" s="6"/>
    </row>
    <row r="43" spans="1:7" ht="16.5" customHeight="1" x14ac:dyDescent="0.35">
      <c r="A43" s="195">
        <v>1</v>
      </c>
      <c r="B43" s="196" t="s">
        <v>105</v>
      </c>
      <c r="C43" s="196"/>
      <c r="D43" s="194"/>
      <c r="E43" s="194"/>
      <c r="F43" s="6"/>
      <c r="G43" s="6"/>
    </row>
    <row r="44" spans="1:7" ht="14.5" customHeight="1" x14ac:dyDescent="0.35">
      <c r="A44" s="195">
        <v>2</v>
      </c>
      <c r="B44" s="196" t="s">
        <v>114</v>
      </c>
      <c r="C44" s="196"/>
      <c r="D44" s="194"/>
      <c r="E44" s="194"/>
      <c r="F44" s="6"/>
      <c r="G44" s="6"/>
    </row>
    <row r="45" spans="1:7" ht="16.5" customHeight="1" x14ac:dyDescent="0.35">
      <c r="A45" s="195">
        <v>3</v>
      </c>
      <c r="B45" s="373" t="s">
        <v>250</v>
      </c>
      <c r="C45" s="373"/>
      <c r="D45" s="373"/>
      <c r="E45" s="373"/>
      <c r="F45" s="6"/>
      <c r="G45" s="6"/>
    </row>
    <row r="46" spans="1:7" ht="31.5" customHeight="1" x14ac:dyDescent="0.35">
      <c r="A46" s="195">
        <v>4</v>
      </c>
      <c r="B46" s="373" t="s">
        <v>302</v>
      </c>
      <c r="C46" s="373"/>
      <c r="D46" s="373"/>
      <c r="E46" s="373"/>
      <c r="F46" s="373"/>
      <c r="G46" s="373"/>
    </row>
    <row r="47" spans="1:7" ht="39" customHeight="1" x14ac:dyDescent="0.35">
      <c r="A47" s="195">
        <v>5</v>
      </c>
      <c r="B47" s="373" t="s">
        <v>249</v>
      </c>
      <c r="C47" s="373"/>
      <c r="D47" s="373"/>
      <c r="E47" s="373"/>
      <c r="F47" s="373"/>
      <c r="G47" s="373"/>
    </row>
  </sheetData>
  <sheetProtection sheet="1" objects="1" scenarios="1"/>
  <mergeCells count="4">
    <mergeCell ref="B45:E45"/>
    <mergeCell ref="B15:H15"/>
    <mergeCell ref="B46:G46"/>
    <mergeCell ref="B47:G47"/>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topLeftCell="A21" workbookViewId="0">
      <selection activeCell="A32" activeCellId="1" sqref="A1:M21 A32:G57"/>
    </sheetView>
  </sheetViews>
  <sheetFormatPr defaultRowHeight="14.5" x14ac:dyDescent="0.35"/>
  <cols>
    <col min="1" max="1" width="3" style="138" customWidth="1"/>
    <col min="2" max="2" width="43.6328125" style="8" customWidth="1"/>
    <col min="3" max="3" width="13.453125" style="8" customWidth="1"/>
    <col min="4" max="4" width="14.54296875" style="8" customWidth="1"/>
    <col min="5" max="5" width="14.81640625" style="8" customWidth="1"/>
    <col min="6" max="6" width="8.7265625" style="8"/>
    <col min="7" max="7" width="10.08984375" style="8" customWidth="1"/>
    <col min="8" max="8" width="8.7265625" style="8"/>
    <col min="9" max="9" width="5.1796875" style="8" customWidth="1"/>
    <col min="10" max="16384" width="8.7265625" style="8"/>
  </cols>
  <sheetData>
    <row r="1" spans="1:13" ht="15" thickBot="1" x14ac:dyDescent="0.4">
      <c r="A1" s="197">
        <v>1</v>
      </c>
      <c r="B1" s="194"/>
      <c r="C1" s="198">
        <f>'Cash Earnings'!F2</f>
        <v>2016</v>
      </c>
      <c r="D1" s="194"/>
      <c r="E1" s="194"/>
      <c r="F1" s="194"/>
      <c r="G1" s="194"/>
      <c r="H1" s="194"/>
      <c r="I1" s="194"/>
      <c r="J1" s="194"/>
      <c r="K1" s="194"/>
      <c r="L1" s="194"/>
      <c r="M1" s="194"/>
    </row>
    <row r="2" spans="1:13" ht="74.5" x14ac:dyDescent="0.35">
      <c r="A2" s="197">
        <v>2</v>
      </c>
      <c r="B2" s="199"/>
      <c r="C2" s="200" t="s">
        <v>291</v>
      </c>
      <c r="D2" s="200" t="s">
        <v>292</v>
      </c>
      <c r="E2" s="200" t="s">
        <v>293</v>
      </c>
      <c r="F2" s="201" t="s">
        <v>106</v>
      </c>
      <c r="G2" s="202" t="s">
        <v>107</v>
      </c>
      <c r="H2" s="203" t="s">
        <v>108</v>
      </c>
      <c r="I2" s="194"/>
      <c r="J2" s="194"/>
      <c r="K2" s="194"/>
      <c r="L2" s="194"/>
      <c r="M2" s="194"/>
    </row>
    <row r="3" spans="1:13" ht="15.5" x14ac:dyDescent="0.35">
      <c r="A3" s="197">
        <v>3</v>
      </c>
      <c r="B3" s="204" t="s">
        <v>243</v>
      </c>
      <c r="C3" s="205"/>
      <c r="D3" s="40"/>
      <c r="E3" s="40"/>
      <c r="F3" s="151"/>
      <c r="G3" s="152"/>
      <c r="H3" s="153"/>
      <c r="I3" s="194"/>
      <c r="J3" s="194"/>
      <c r="K3" s="194"/>
      <c r="L3" s="194"/>
      <c r="M3" s="194"/>
    </row>
    <row r="4" spans="1:13" x14ac:dyDescent="0.35">
      <c r="A4" s="197">
        <v>4</v>
      </c>
      <c r="B4" s="206" t="s">
        <v>234</v>
      </c>
      <c r="C4" s="207">
        <f>'Current Balance Sheet'!E13/'Current Balance Sheet'!E35</f>
        <v>2.0543987070923442</v>
      </c>
      <c r="D4" s="207"/>
      <c r="E4" s="207"/>
      <c r="F4" s="159" t="s">
        <v>157</v>
      </c>
      <c r="G4" s="160" t="s">
        <v>158</v>
      </c>
      <c r="H4" s="158" t="s">
        <v>159</v>
      </c>
      <c r="I4" s="194"/>
      <c r="J4" s="194"/>
      <c r="K4" s="194"/>
      <c r="L4" s="194"/>
      <c r="M4" s="194"/>
    </row>
    <row r="5" spans="1:13" x14ac:dyDescent="0.35">
      <c r="A5" s="197">
        <v>5</v>
      </c>
      <c r="B5" s="208" t="s">
        <v>235</v>
      </c>
      <c r="C5" s="209">
        <f>'Current Balance Sheet'!E41/'Current Balance Sheet'!E24</f>
        <v>0.33227726046508937</v>
      </c>
      <c r="D5" s="209"/>
      <c r="E5" s="209"/>
      <c r="F5" s="159" t="s">
        <v>121</v>
      </c>
      <c r="G5" s="160" t="s">
        <v>122</v>
      </c>
      <c r="H5" s="158" t="s">
        <v>123</v>
      </c>
      <c r="I5" s="194"/>
      <c r="J5" s="194"/>
      <c r="K5" s="194"/>
      <c r="L5" s="194"/>
      <c r="M5" s="194"/>
    </row>
    <row r="6" spans="1:13" x14ac:dyDescent="0.35">
      <c r="A6" s="197">
        <v>6</v>
      </c>
      <c r="B6" s="208" t="s">
        <v>236</v>
      </c>
      <c r="C6" s="210">
        <f>'Current Balance Sheet'!E43/'Current Balance Sheet'!E24</f>
        <v>0.66772273953491068</v>
      </c>
      <c r="D6" s="210"/>
      <c r="E6" s="210"/>
      <c r="F6" s="159" t="s">
        <v>170</v>
      </c>
      <c r="G6" s="160" t="s">
        <v>171</v>
      </c>
      <c r="H6" s="158" t="s">
        <v>172</v>
      </c>
      <c r="I6" s="194"/>
      <c r="J6" s="194"/>
      <c r="K6" s="194"/>
      <c r="L6" s="194"/>
      <c r="M6" s="194"/>
    </row>
    <row r="7" spans="1:13" x14ac:dyDescent="0.35">
      <c r="A7" s="197">
        <v>7</v>
      </c>
      <c r="B7" s="208" t="s">
        <v>245</v>
      </c>
      <c r="C7" s="211">
        <f>'Current Balance Sheet'!E43</f>
        <v>3690979</v>
      </c>
      <c r="D7" s="211"/>
      <c r="E7" s="211"/>
      <c r="F7" s="159"/>
      <c r="G7" s="160"/>
      <c r="H7" s="158"/>
      <c r="I7" s="194"/>
      <c r="J7" s="194"/>
      <c r="K7" s="194"/>
      <c r="L7" s="194"/>
      <c r="M7" s="194"/>
    </row>
    <row r="8" spans="1:13" x14ac:dyDescent="0.35">
      <c r="A8" s="197">
        <v>8</v>
      </c>
      <c r="B8" s="208" t="s">
        <v>237</v>
      </c>
      <c r="C8" s="211">
        <f>'Current Balance Sheet'!E41/'Cash Earnings'!F4</f>
        <v>9667.015789473684</v>
      </c>
      <c r="D8" s="211">
        <f>'Current Balance Sheet'!E41/'Cash Earnings'!K4</f>
        <v>9323.5177664974617</v>
      </c>
      <c r="E8" s="211">
        <f>'Current Balance Sheet'!E41/'Cash Earnings'!L4</f>
        <v>9229.8140703517583</v>
      </c>
      <c r="F8" s="375" t="s">
        <v>238</v>
      </c>
      <c r="G8" s="375"/>
      <c r="H8" s="376"/>
      <c r="I8" s="194"/>
      <c r="J8" s="194" t="s">
        <v>334</v>
      </c>
      <c r="K8" s="194"/>
      <c r="L8" s="194"/>
      <c r="M8" s="194"/>
    </row>
    <row r="9" spans="1:13" x14ac:dyDescent="0.35">
      <c r="A9" s="197">
        <v>9</v>
      </c>
      <c r="B9" s="212" t="s">
        <v>178</v>
      </c>
      <c r="C9" s="213"/>
      <c r="D9" s="155"/>
      <c r="E9" s="155"/>
      <c r="F9" s="159"/>
      <c r="G9" s="160"/>
      <c r="H9" s="158"/>
      <c r="I9" s="194"/>
      <c r="J9" s="194" t="s">
        <v>335</v>
      </c>
      <c r="K9" s="194"/>
      <c r="L9" s="194"/>
      <c r="M9" s="194"/>
    </row>
    <row r="10" spans="1:13" x14ac:dyDescent="0.35">
      <c r="A10" s="197">
        <v>10</v>
      </c>
      <c r="B10" s="206" t="s">
        <v>115</v>
      </c>
      <c r="C10" s="214">
        <f>'Cash Earnings'!F64</f>
        <v>-57382</v>
      </c>
      <c r="D10" s="150">
        <f>'Cash Earnings'!K64</f>
        <v>-10692.333333333334</v>
      </c>
      <c r="E10" s="150">
        <f>'Cash Earnings'!L64</f>
        <v>16088</v>
      </c>
      <c r="F10" s="159"/>
      <c r="G10" s="160"/>
      <c r="H10" s="158"/>
      <c r="I10" s="194"/>
      <c r="J10" s="194"/>
      <c r="K10" s="194"/>
      <c r="L10" s="194"/>
      <c r="M10" s="194"/>
    </row>
    <row r="11" spans="1:13" x14ac:dyDescent="0.35">
      <c r="A11" s="197">
        <v>11</v>
      </c>
      <c r="B11" s="208" t="s">
        <v>71</v>
      </c>
      <c r="C11" s="209">
        <f>'Cash Earnings'!F56/'Cash Earnings'!F27</f>
        <v>0.91412373524949098</v>
      </c>
      <c r="D11" s="215">
        <f>'Cash Earnings'!K56/'Cash Earnings'!K27</f>
        <v>0.84851312330362172</v>
      </c>
      <c r="E11" s="215">
        <f>'Cash Earnings'!L56/'Cash Earnings'!L27</f>
        <v>0.82717938004151237</v>
      </c>
      <c r="F11" s="159" t="s">
        <v>132</v>
      </c>
      <c r="G11" s="160" t="s">
        <v>133</v>
      </c>
      <c r="H11" s="158" t="s">
        <v>134</v>
      </c>
      <c r="I11" s="194"/>
      <c r="J11" s="194"/>
      <c r="K11" s="194"/>
      <c r="L11" s="194"/>
      <c r="M11" s="194"/>
    </row>
    <row r="12" spans="1:13" x14ac:dyDescent="0.35">
      <c r="A12" s="197">
        <v>12</v>
      </c>
      <c r="B12" s="208" t="s">
        <v>252</v>
      </c>
      <c r="C12" s="211">
        <f>C47</f>
        <v>-37537.764999999999</v>
      </c>
      <c r="D12" s="216">
        <f>D47</f>
        <v>54261.568333333315</v>
      </c>
      <c r="E12" s="216">
        <f>E47</f>
        <v>76382.235000000001</v>
      </c>
      <c r="F12" s="159"/>
      <c r="G12" s="160"/>
      <c r="H12" s="158"/>
      <c r="I12" s="194"/>
      <c r="J12" s="194"/>
      <c r="K12" s="194"/>
      <c r="L12" s="194"/>
      <c r="M12" s="194"/>
    </row>
    <row r="13" spans="1:13" x14ac:dyDescent="0.35">
      <c r="A13" s="197">
        <v>13</v>
      </c>
      <c r="B13" s="208" t="s">
        <v>146</v>
      </c>
      <c r="C13" s="209">
        <f>C46</f>
        <v>0.76380166426547802</v>
      </c>
      <c r="D13" s="215">
        <f>D46</f>
        <v>1.3414292815429572</v>
      </c>
      <c r="E13" s="215">
        <f>E46</f>
        <v>1.4806188324393619</v>
      </c>
      <c r="F13" s="159" t="s">
        <v>109</v>
      </c>
      <c r="G13" s="160" t="s">
        <v>110</v>
      </c>
      <c r="H13" s="158" t="s">
        <v>111</v>
      </c>
      <c r="I13" s="194"/>
      <c r="J13" s="194"/>
      <c r="K13" s="194"/>
      <c r="L13" s="194"/>
      <c r="M13" s="194"/>
    </row>
    <row r="14" spans="1:13" x14ac:dyDescent="0.35">
      <c r="A14" s="197">
        <v>14</v>
      </c>
      <c r="B14" s="208" t="s">
        <v>240</v>
      </c>
      <c r="C14" s="211">
        <f>(C44+C45)/365</f>
        <v>435.41031506849316</v>
      </c>
      <c r="D14" s="216">
        <f>(D44+D45)/365</f>
        <v>435.41031506849316</v>
      </c>
      <c r="E14" s="216">
        <f>(E44+E45)/365</f>
        <v>435.41031506849316</v>
      </c>
      <c r="F14" s="159"/>
      <c r="G14" s="160"/>
      <c r="H14" s="158"/>
      <c r="I14" s="194"/>
      <c r="J14" s="194"/>
      <c r="K14" s="194"/>
      <c r="L14" s="194"/>
      <c r="M14" s="194"/>
    </row>
    <row r="15" spans="1:13" x14ac:dyDescent="0.35">
      <c r="A15" s="197">
        <v>15</v>
      </c>
      <c r="B15" s="208" t="s">
        <v>241</v>
      </c>
      <c r="C15" s="209">
        <f>(C44+C45)/('Cash Earnings'!F5*'Cash Earnings'!F6)</f>
        <v>0.18418201277599819</v>
      </c>
      <c r="D15" s="215">
        <f>(D44+D45)/('Cash Earnings'!K5*'Cash Earnings'!K6)</f>
        <v>0.18569175648430644</v>
      </c>
      <c r="E15" s="215">
        <f>(E44+E45)/('Cash Earnings'!L5*'Cash Earnings'!L6)</f>
        <v>0.16598898890505465</v>
      </c>
      <c r="F15" s="375" t="s">
        <v>242</v>
      </c>
      <c r="G15" s="375"/>
      <c r="H15" s="376"/>
      <c r="I15" s="194"/>
      <c r="J15" s="194"/>
      <c r="K15" s="194"/>
      <c r="L15" s="194"/>
      <c r="M15" s="194"/>
    </row>
    <row r="16" spans="1:13" x14ac:dyDescent="0.35">
      <c r="A16" s="197">
        <v>16</v>
      </c>
      <c r="B16" s="212" t="s">
        <v>244</v>
      </c>
      <c r="C16" s="213"/>
      <c r="D16" s="155"/>
      <c r="E16" s="155"/>
      <c r="F16" s="159"/>
      <c r="G16" s="160"/>
      <c r="H16" s="158"/>
      <c r="I16" s="194"/>
      <c r="J16" s="194"/>
      <c r="K16" s="194"/>
      <c r="L16" s="194"/>
      <c r="M16" s="194"/>
    </row>
    <row r="17" spans="1:13" ht="16.5" x14ac:dyDescent="0.35">
      <c r="A17" s="197">
        <v>17</v>
      </c>
      <c r="B17" s="208" t="s">
        <v>288</v>
      </c>
      <c r="C17" s="217">
        <f>('Cash Earnings'!F58+'Cash Earnings'!F61+'Current Balance Sheet'!E30+'Current Balance Sheet'!F54-'Cash Earnings'!F65)/'Cash Earnings'!F5</f>
        <v>21.256727246345907</v>
      </c>
      <c r="D17" s="218">
        <f>('Cash Earnings'!K58+'Cash Earnings'!K61+'Current Balance Sheet'!E30+'Current Balance Sheet'!F54-'Cash Earnings'!K65)/'Cash Earnings'!K5</f>
        <v>28.583198557168977</v>
      </c>
      <c r="E17" s="218">
        <f>('Cash Earnings'!L58+'Cash Earnings'!L61+'Current Balance Sheet'!F30+'Current Balance Sheet'!F54-'Cash Earnings'!L65)/'Cash Earnings'!L5</f>
        <v>23.438801313894608</v>
      </c>
      <c r="F17" s="159"/>
      <c r="G17" s="160"/>
      <c r="H17" s="158"/>
      <c r="I17" s="194"/>
      <c r="J17" s="194"/>
      <c r="K17" s="194"/>
      <c r="L17" s="194"/>
      <c r="M17" s="194"/>
    </row>
    <row r="18" spans="1:13" ht="17" thickBot="1" x14ac:dyDescent="0.4">
      <c r="A18" s="197">
        <v>18</v>
      </c>
      <c r="B18" s="219" t="s">
        <v>255</v>
      </c>
      <c r="C18" s="220">
        <f>('Cash Earnings'!F58+'Cash Earnings'!F61+'Current Balance Sheet'!E30+'Current Balance Sheet'!F54-'Cash Earnings'!F65)/'Cash Earnings'!F8</f>
        <v>18.024659908489848</v>
      </c>
      <c r="D18" s="221">
        <f>('Cash Earnings'!K58+'Cash Earnings'!K61+'Current Balance Sheet'!E30+'Current Balance Sheet'!F54-'Cash Earnings'!K65)/'Cash Earnings'!K8</f>
        <v>20.357725588049252</v>
      </c>
      <c r="E18" s="221">
        <f>('Cash Earnings'!L58+'Cash Earnings'!L61+'Current Balance Sheet'!F30+'Current Balance Sheet'!F54-'Cash Earnings'!L65)/'Cash Earnings'!L8</f>
        <v>18.746742956498089</v>
      </c>
      <c r="F18" s="163"/>
      <c r="G18" s="164"/>
      <c r="H18" s="165"/>
      <c r="I18" s="194"/>
      <c r="J18" s="194"/>
      <c r="K18" s="194"/>
      <c r="L18" s="194"/>
      <c r="M18" s="194"/>
    </row>
    <row r="19" spans="1:13" ht="33.5" customHeight="1" x14ac:dyDescent="0.35">
      <c r="A19" s="197"/>
      <c r="B19" s="378" t="s">
        <v>254</v>
      </c>
      <c r="C19" s="379"/>
      <c r="D19" s="379"/>
      <c r="E19" s="379"/>
      <c r="F19" s="379"/>
      <c r="G19" s="379"/>
      <c r="H19" s="379"/>
      <c r="I19" s="194"/>
      <c r="J19" s="194"/>
      <c r="K19" s="194"/>
      <c r="L19" s="194"/>
      <c r="M19" s="194"/>
    </row>
    <row r="20" spans="1:13" ht="42" customHeight="1" x14ac:dyDescent="0.35">
      <c r="A20" s="192"/>
      <c r="B20" s="380" t="s">
        <v>333</v>
      </c>
      <c r="C20" s="380"/>
      <c r="D20" s="380"/>
      <c r="E20" s="380"/>
      <c r="F20" s="380"/>
      <c r="G20" s="380"/>
      <c r="H20" s="380"/>
      <c r="I20" s="194"/>
      <c r="J20" s="194"/>
      <c r="K20" s="194"/>
      <c r="L20" s="194"/>
      <c r="M20" s="194"/>
    </row>
    <row r="21" spans="1:13" ht="42" customHeight="1" x14ac:dyDescent="0.35">
      <c r="A21" s="192"/>
      <c r="B21" s="380" t="s">
        <v>256</v>
      </c>
      <c r="C21" s="380"/>
      <c r="D21" s="380"/>
      <c r="E21" s="380"/>
      <c r="F21" s="380"/>
      <c r="G21" s="380"/>
      <c r="H21" s="380"/>
      <c r="I21" s="194"/>
      <c r="J21" s="194"/>
      <c r="K21" s="194"/>
      <c r="L21" s="194"/>
      <c r="M21" s="194"/>
    </row>
    <row r="32" spans="1:13" ht="18.5" x14ac:dyDescent="0.35">
      <c r="A32" s="192"/>
      <c r="B32" s="222" t="s">
        <v>94</v>
      </c>
      <c r="C32" s="222"/>
      <c r="D32" s="40"/>
      <c r="E32" s="223"/>
      <c r="F32" s="194"/>
      <c r="G32" s="194"/>
    </row>
    <row r="33" spans="1:7" x14ac:dyDescent="0.35">
      <c r="A33" s="192"/>
      <c r="B33" s="40"/>
      <c r="C33" s="40"/>
      <c r="D33" s="172"/>
      <c r="E33" s="224"/>
      <c r="F33" s="194"/>
      <c r="G33" s="194"/>
    </row>
    <row r="34" spans="1:7" x14ac:dyDescent="0.35">
      <c r="A34" s="50">
        <v>1</v>
      </c>
      <c r="B34" s="40" t="s">
        <v>95</v>
      </c>
      <c r="C34" s="174">
        <f>'Cash Earnings'!F64</f>
        <v>-57382</v>
      </c>
      <c r="D34" s="174">
        <f>'Cash Earnings'!K64</f>
        <v>-10692.333333333334</v>
      </c>
      <c r="E34" s="174">
        <f>'Cash Earnings'!L64</f>
        <v>16088</v>
      </c>
      <c r="F34" s="194"/>
      <c r="G34" s="194"/>
    </row>
    <row r="35" spans="1:7" x14ac:dyDescent="0.35">
      <c r="A35" s="50">
        <v>2</v>
      </c>
      <c r="B35" s="40" t="s">
        <v>96</v>
      </c>
      <c r="C35" s="174">
        <f>'Cash Earnings'!F65</f>
        <v>60000</v>
      </c>
      <c r="D35" s="174">
        <f>'Cash Earnings'!K65</f>
        <v>58000</v>
      </c>
      <c r="E35" s="174">
        <f>'Cash Earnings'!L65</f>
        <v>55000</v>
      </c>
      <c r="F35" s="194"/>
      <c r="G35" s="194"/>
    </row>
    <row r="36" spans="1:7" x14ac:dyDescent="0.35">
      <c r="A36" s="50">
        <v>3</v>
      </c>
      <c r="B36" s="40" t="s">
        <v>97</v>
      </c>
      <c r="C36" s="174">
        <f>'Cash Earnings'!F57</f>
        <v>63108</v>
      </c>
      <c r="D36" s="174">
        <f>'Cash Earnings'!K57</f>
        <v>143681.66666666666</v>
      </c>
      <c r="E36" s="174">
        <f>'Cash Earnings'!L57</f>
        <v>139585.20000000001</v>
      </c>
      <c r="F36" s="194"/>
      <c r="G36" s="194"/>
    </row>
    <row r="37" spans="1:7" x14ac:dyDescent="0.35">
      <c r="A37" s="50">
        <v>4</v>
      </c>
      <c r="B37" s="40" t="s">
        <v>98</v>
      </c>
      <c r="C37" s="174">
        <f>'Cash Earnings'!F61</f>
        <v>71665</v>
      </c>
      <c r="D37" s="174">
        <f>'Cash Earnings'!K61</f>
        <v>55533</v>
      </c>
      <c r="E37" s="174">
        <f>'Cash Earnings'!L61</f>
        <v>55680.800000000003</v>
      </c>
      <c r="F37" s="194"/>
      <c r="G37" s="194"/>
    </row>
    <row r="38" spans="1:7" x14ac:dyDescent="0.35">
      <c r="A38" s="50">
        <v>5</v>
      </c>
      <c r="B38" s="40" t="s">
        <v>99</v>
      </c>
      <c r="C38" s="174">
        <f>'Cash Earnings'!F62</f>
        <v>-9996</v>
      </c>
      <c r="D38" s="174">
        <f>'Cash Earnings'!K62</f>
        <v>7336</v>
      </c>
      <c r="E38" s="174">
        <f>'Cash Earnings'!L62</f>
        <v>5047</v>
      </c>
      <c r="F38" s="194"/>
      <c r="G38" s="194"/>
    </row>
    <row r="39" spans="1:7" ht="16.5" x14ac:dyDescent="0.35">
      <c r="A39" s="225">
        <v>6</v>
      </c>
      <c r="B39" s="60" t="s">
        <v>100</v>
      </c>
      <c r="C39" s="177">
        <f>SUM(C34:C37)-C38</f>
        <v>147387</v>
      </c>
      <c r="D39" s="177">
        <f>SUM(D34:D37)-D38</f>
        <v>239186.33333333331</v>
      </c>
      <c r="E39" s="177">
        <f>SUM(E34:E37)-E38</f>
        <v>261307</v>
      </c>
      <c r="F39" s="194"/>
      <c r="G39" s="194"/>
    </row>
    <row r="40" spans="1:7" x14ac:dyDescent="0.35">
      <c r="A40" s="50">
        <v>7</v>
      </c>
      <c r="B40" s="179" t="s">
        <v>101</v>
      </c>
      <c r="C40" s="174">
        <f>'Cash Earnings'!F66</f>
        <v>0</v>
      </c>
      <c r="D40" s="174">
        <f>'Cash Earnings'!K66</f>
        <v>0</v>
      </c>
      <c r="E40" s="174">
        <f>'Cash Earnings'!L66</f>
        <v>0</v>
      </c>
      <c r="F40" s="194"/>
      <c r="G40" s="194"/>
    </row>
    <row r="41" spans="1:7" x14ac:dyDescent="0.35">
      <c r="A41" s="50">
        <v>8</v>
      </c>
      <c r="B41" s="40" t="s">
        <v>102</v>
      </c>
      <c r="C41" s="174">
        <f>'Current Balance Sheet'!F54</f>
        <v>26000</v>
      </c>
      <c r="D41" s="174">
        <f>'Current Balance Sheet'!F54</f>
        <v>26000</v>
      </c>
      <c r="E41" s="174">
        <f>'Current Balance Sheet'!F54</f>
        <v>26000</v>
      </c>
      <c r="F41" s="194"/>
      <c r="G41" s="194"/>
    </row>
    <row r="42" spans="1:7" x14ac:dyDescent="0.35">
      <c r="A42" s="50">
        <v>9</v>
      </c>
      <c r="B42" s="40" t="s">
        <v>103</v>
      </c>
      <c r="C42" s="174">
        <f>'Cash Earnings'!F67</f>
        <v>0</v>
      </c>
      <c r="D42" s="174">
        <f>'Cash Earnings'!K67</f>
        <v>0</v>
      </c>
      <c r="E42" s="174">
        <f>'Cash Earnings'!L67</f>
        <v>0</v>
      </c>
      <c r="F42" s="194"/>
      <c r="G42" s="194"/>
    </row>
    <row r="43" spans="1:7" ht="16.5" x14ac:dyDescent="0.35">
      <c r="A43" s="225">
        <v>10</v>
      </c>
      <c r="B43" s="60" t="s">
        <v>104</v>
      </c>
      <c r="C43" s="177">
        <f>C39-C40-C41-C42</f>
        <v>121387</v>
      </c>
      <c r="D43" s="177">
        <f>D39-D40-D41-D42</f>
        <v>213186.33333333331</v>
      </c>
      <c r="E43" s="177">
        <f>E39-E40-E41-E42</f>
        <v>235307</v>
      </c>
      <c r="F43" s="194"/>
      <c r="G43" s="194"/>
    </row>
    <row r="44" spans="1:7" ht="16.5" x14ac:dyDescent="0.35">
      <c r="A44" s="50">
        <v>11</v>
      </c>
      <c r="B44" s="40" t="s">
        <v>246</v>
      </c>
      <c r="C44" s="180">
        <f>'Current Balance Sheet'!E30</f>
        <v>74882</v>
      </c>
      <c r="D44" s="180">
        <f>'Current Balance Sheet'!E30</f>
        <v>74882</v>
      </c>
      <c r="E44" s="180">
        <f>'Current Balance Sheet'!E30</f>
        <v>74882</v>
      </c>
      <c r="F44" s="194"/>
      <c r="G44" s="194"/>
    </row>
    <row r="45" spans="1:7" ht="16.5" x14ac:dyDescent="0.35">
      <c r="A45" s="50">
        <v>12</v>
      </c>
      <c r="B45" s="40" t="s">
        <v>247</v>
      </c>
      <c r="C45" s="180">
        <f>('Current Balance Sheet'!E30+'Current Balance Sheet'!E29+'Current Balance Sheet'!E38)*'Current Balance Sheet'!F57</f>
        <v>84042.764999999999</v>
      </c>
      <c r="D45" s="180">
        <f>('Current Balance Sheet'!E30+'Current Balance Sheet'!E29+'Current Balance Sheet'!E38)*'Current Balance Sheet'!F57</f>
        <v>84042.764999999999</v>
      </c>
      <c r="E45" s="180">
        <f>('Current Balance Sheet'!E30+'Current Balance Sheet'!E29+'Current Balance Sheet'!E38)*'Current Balance Sheet'!F57</f>
        <v>84042.764999999999</v>
      </c>
      <c r="F45" s="194"/>
      <c r="G45" s="194"/>
    </row>
    <row r="46" spans="1:7" ht="29" x14ac:dyDescent="0.35">
      <c r="A46" s="50">
        <v>13</v>
      </c>
      <c r="B46" s="182" t="s">
        <v>145</v>
      </c>
      <c r="C46" s="183">
        <f>C43/(C44+C45)</f>
        <v>0.76380166426547802</v>
      </c>
      <c r="D46" s="183">
        <f>D43/(D44+D45)</f>
        <v>1.3414292815429572</v>
      </c>
      <c r="E46" s="183">
        <f>E43/(E44+E45)</f>
        <v>1.4806188324393619</v>
      </c>
      <c r="F46" s="194"/>
      <c r="G46" s="194"/>
    </row>
    <row r="47" spans="1:7" ht="29" x14ac:dyDescent="0.35">
      <c r="A47" s="50">
        <v>14</v>
      </c>
      <c r="B47" s="182" t="s">
        <v>239</v>
      </c>
      <c r="C47" s="185">
        <f>C43-C44-C45</f>
        <v>-37537.764999999999</v>
      </c>
      <c r="D47" s="185">
        <f>D43-D44-D45</f>
        <v>54261.568333333315</v>
      </c>
      <c r="E47" s="185">
        <f>E43-E44-E45</f>
        <v>76382.235000000001</v>
      </c>
      <c r="F47" s="194"/>
      <c r="G47" s="194"/>
    </row>
    <row r="48" spans="1:7" ht="16.5" x14ac:dyDescent="0.35">
      <c r="A48" s="50">
        <v>15</v>
      </c>
      <c r="B48" s="182" t="s">
        <v>300</v>
      </c>
      <c r="C48" s="187">
        <f>('Cash Earnings'!F57*(1-('Current Balance Sheet'!E40/('Current Balance Sheet'!E23-'Current Balance Sheet'!E15))))</f>
        <v>41401.742430847989</v>
      </c>
      <c r="D48" s="187">
        <f>('Cash Earnings'!K57*(1-('Current Balance Sheet'!E40/('Current Balance Sheet'!E23-'Current Balance Sheet'!E15))))</f>
        <v>94261.763252967779</v>
      </c>
      <c r="E48" s="187">
        <f>('Cash Earnings'!L57*(1-('Current Balance Sheet'!E40/('Current Balance Sheet'!E23-'Current Balance Sheet'!E15))))</f>
        <v>91574.293236331432</v>
      </c>
      <c r="F48" s="194"/>
      <c r="G48" s="194"/>
    </row>
    <row r="49" spans="1:7" x14ac:dyDescent="0.35">
      <c r="A49" s="50">
        <v>16</v>
      </c>
      <c r="B49" s="182" t="s">
        <v>299</v>
      </c>
      <c r="C49" s="185">
        <f>C47-C48</f>
        <v>-78939.507430847996</v>
      </c>
      <c r="D49" s="185">
        <f t="shared" ref="D49:E49" si="0">D47-D48</f>
        <v>-40000.194919634465</v>
      </c>
      <c r="E49" s="185">
        <f t="shared" si="0"/>
        <v>-15192.058236331432</v>
      </c>
      <c r="F49" s="194"/>
      <c r="G49" s="194"/>
    </row>
    <row r="50" spans="1:7" ht="16.5" x14ac:dyDescent="0.35">
      <c r="A50" s="50">
        <v>17</v>
      </c>
      <c r="B50" s="226" t="s">
        <v>301</v>
      </c>
      <c r="C50" s="185" t="str">
        <f>IF(C47&gt;C48,"Yes","No")</f>
        <v>No</v>
      </c>
      <c r="D50" s="185" t="str">
        <f t="shared" ref="D50:E50" si="1">IF(D47&gt;D48,"Yes","No")</f>
        <v>No</v>
      </c>
      <c r="E50" s="185" t="str">
        <f t="shared" si="1"/>
        <v>No</v>
      </c>
      <c r="F50" s="194"/>
      <c r="G50" s="194"/>
    </row>
    <row r="51" spans="1:7" x14ac:dyDescent="0.35">
      <c r="A51" s="192"/>
      <c r="B51" s="193"/>
      <c r="C51" s="193"/>
      <c r="D51" s="194"/>
      <c r="E51" s="194"/>
      <c r="F51" s="194"/>
      <c r="G51" s="194"/>
    </row>
    <row r="52" spans="1:7" x14ac:dyDescent="0.35">
      <c r="A52" s="194" t="s">
        <v>113</v>
      </c>
      <c r="B52" s="194"/>
      <c r="C52" s="194"/>
      <c r="D52" s="194"/>
      <c r="E52" s="194"/>
      <c r="F52" s="194"/>
      <c r="G52" s="194"/>
    </row>
    <row r="53" spans="1:7" ht="16.5" x14ac:dyDescent="0.35">
      <c r="A53" s="195">
        <v>1</v>
      </c>
      <c r="B53" s="196" t="s">
        <v>105</v>
      </c>
      <c r="C53" s="196"/>
      <c r="D53" s="194"/>
      <c r="E53" s="194"/>
      <c r="F53" s="194"/>
      <c r="G53" s="194"/>
    </row>
    <row r="54" spans="1:7" ht="16.5" x14ac:dyDescent="0.35">
      <c r="A54" s="195">
        <v>2</v>
      </c>
      <c r="B54" s="196" t="s">
        <v>114</v>
      </c>
      <c r="C54" s="196"/>
      <c r="D54" s="194"/>
      <c r="E54" s="194"/>
      <c r="F54" s="194"/>
      <c r="G54" s="194"/>
    </row>
    <row r="55" spans="1:7" ht="18.5" customHeight="1" x14ac:dyDescent="0.35">
      <c r="A55" s="195">
        <v>3</v>
      </c>
      <c r="B55" s="373" t="s">
        <v>250</v>
      </c>
      <c r="C55" s="373"/>
      <c r="D55" s="373"/>
      <c r="E55" s="373"/>
      <c r="F55" s="373"/>
      <c r="G55" s="373"/>
    </row>
    <row r="56" spans="1:7" ht="36" customHeight="1" x14ac:dyDescent="0.35">
      <c r="A56" s="195">
        <v>4</v>
      </c>
      <c r="B56" s="373" t="s">
        <v>302</v>
      </c>
      <c r="C56" s="373"/>
      <c r="D56" s="373"/>
      <c r="E56" s="373"/>
      <c r="F56" s="373"/>
      <c r="G56" s="373"/>
    </row>
    <row r="57" spans="1:7" ht="31.5" customHeight="1" x14ac:dyDescent="0.35">
      <c r="A57" s="195">
        <v>5</v>
      </c>
      <c r="B57" s="377" t="s">
        <v>249</v>
      </c>
      <c r="C57" s="377"/>
      <c r="D57" s="377"/>
      <c r="E57" s="377"/>
      <c r="F57" s="377"/>
      <c r="G57" s="377"/>
    </row>
  </sheetData>
  <sheetProtection sheet="1" objects="1" scenarios="1"/>
  <mergeCells count="8">
    <mergeCell ref="F8:H8"/>
    <mergeCell ref="F15:H15"/>
    <mergeCell ref="B57:G57"/>
    <mergeCell ref="B56:G56"/>
    <mergeCell ref="B19:H19"/>
    <mergeCell ref="B20:H20"/>
    <mergeCell ref="B21:H21"/>
    <mergeCell ref="B55:G55"/>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2"/>
  <sheetViews>
    <sheetView workbookViewId="0">
      <pane xSplit="5" ySplit="3" topLeftCell="F69" activePane="bottomRight" state="frozen"/>
      <selection pane="topRight" activeCell="F1" sqref="F1"/>
      <selection pane="bottomLeft" activeCell="A4" sqref="A4"/>
      <selection pane="bottomRight" activeCell="F72" sqref="E72:F72"/>
    </sheetView>
  </sheetViews>
  <sheetFormatPr defaultColWidth="8.90625" defaultRowHeight="15.5" x14ac:dyDescent="0.35"/>
  <cols>
    <col min="1" max="1" width="4.81640625" style="239" customWidth="1"/>
    <col min="2" max="2" width="31.453125" style="228" customWidth="1"/>
    <col min="3" max="3" width="7.36328125" style="228" customWidth="1"/>
    <col min="4" max="4" width="8.7265625" style="228" customWidth="1"/>
    <col min="5" max="5" width="7.36328125" style="228" customWidth="1"/>
    <col min="6" max="6" width="1.54296875" style="229" customWidth="1"/>
    <col min="7" max="8" width="10.453125" style="228" customWidth="1"/>
    <col min="9" max="9" width="2.453125" style="228" customWidth="1"/>
    <col min="10" max="10" width="11.453125" style="228" customWidth="1"/>
    <col min="11" max="14" width="10.453125" style="228" customWidth="1"/>
    <col min="15" max="15" width="4.81640625" style="228" customWidth="1"/>
    <col min="16" max="16384" width="8.90625" style="228"/>
  </cols>
  <sheetData>
    <row r="1" spans="1:17" ht="25" customHeight="1" thickTop="1" thickBot="1" x14ac:dyDescent="0.4">
      <c r="A1" s="386" t="s">
        <v>151</v>
      </c>
      <c r="B1" s="387"/>
      <c r="C1" s="387"/>
      <c r="D1" s="387"/>
      <c r="E1" s="388"/>
      <c r="F1" s="240"/>
      <c r="G1" s="241"/>
      <c r="H1" s="242"/>
      <c r="I1" s="242"/>
      <c r="J1" s="242"/>
      <c r="K1" s="242"/>
      <c r="L1" s="242"/>
      <c r="M1" s="242"/>
      <c r="N1" s="242"/>
      <c r="O1" s="242"/>
      <c r="P1" s="243"/>
      <c r="Q1" s="244"/>
    </row>
    <row r="2" spans="1:17" ht="21" x14ac:dyDescent="0.45">
      <c r="A2" s="245"/>
      <c r="B2" s="246"/>
      <c r="C2" s="389" t="s">
        <v>152</v>
      </c>
      <c r="D2" s="389"/>
      <c r="E2" s="390"/>
      <c r="F2" s="247"/>
      <c r="G2" s="248"/>
      <c r="H2" s="249"/>
      <c r="I2" s="250"/>
      <c r="J2" s="383" t="s">
        <v>228</v>
      </c>
      <c r="K2" s="384"/>
      <c r="L2" s="384"/>
      <c r="M2" s="384"/>
      <c r="N2" s="385"/>
      <c r="O2" s="251"/>
      <c r="P2" s="243"/>
      <c r="Q2" s="244"/>
    </row>
    <row r="3" spans="1:17" ht="31" x14ac:dyDescent="0.35">
      <c r="A3" s="391"/>
      <c r="B3" s="392"/>
      <c r="C3" s="252" t="s">
        <v>106</v>
      </c>
      <c r="D3" s="252" t="s">
        <v>107</v>
      </c>
      <c r="E3" s="253" t="s">
        <v>108</v>
      </c>
      <c r="F3" s="254"/>
      <c r="G3" s="255" t="s">
        <v>153</v>
      </c>
      <c r="H3" s="256" t="s">
        <v>227</v>
      </c>
      <c r="I3" s="257"/>
      <c r="J3" s="258">
        <f>'Cash Earnings'!F2</f>
        <v>2016</v>
      </c>
      <c r="K3" s="259">
        <v>2015</v>
      </c>
      <c r="L3" s="259">
        <v>2014</v>
      </c>
      <c r="M3" s="260">
        <v>2013</v>
      </c>
      <c r="N3" s="261">
        <v>2012</v>
      </c>
      <c r="O3" s="262"/>
      <c r="P3" s="243"/>
      <c r="Q3" s="244"/>
    </row>
    <row r="4" spans="1:17" ht="18.5" x14ac:dyDescent="0.45">
      <c r="A4" s="263" t="s">
        <v>154</v>
      </c>
      <c r="B4" s="264"/>
      <c r="C4" s="265"/>
      <c r="D4" s="160"/>
      <c r="E4" s="266"/>
      <c r="F4" s="247"/>
      <c r="G4" s="267"/>
      <c r="H4" s="268"/>
      <c r="I4" s="269"/>
      <c r="J4" s="270"/>
      <c r="K4" s="268"/>
      <c r="L4" s="268"/>
      <c r="M4" s="268"/>
      <c r="N4" s="271"/>
      <c r="O4" s="272"/>
      <c r="P4" s="243"/>
      <c r="Q4" s="244"/>
    </row>
    <row r="5" spans="1:17" x14ac:dyDescent="0.35">
      <c r="A5" s="273" t="s">
        <v>155</v>
      </c>
      <c r="B5" s="264" t="s">
        <v>156</v>
      </c>
      <c r="C5" s="159" t="s">
        <v>157</v>
      </c>
      <c r="D5" s="160" t="s">
        <v>158</v>
      </c>
      <c r="E5" s="274" t="s">
        <v>159</v>
      </c>
      <c r="F5" s="275"/>
      <c r="G5" s="276"/>
      <c r="H5" s="277"/>
      <c r="I5" s="278"/>
      <c r="J5" s="279">
        <f>'Current Balance Sheet'!E13/'Current Balance Sheet'!E35</f>
        <v>2.0543987070923442</v>
      </c>
      <c r="K5" s="277"/>
      <c r="L5" s="277"/>
      <c r="M5" s="277"/>
      <c r="N5" s="280"/>
      <c r="O5" s="281"/>
      <c r="P5" s="243"/>
      <c r="Q5" s="244"/>
    </row>
    <row r="6" spans="1:17" x14ac:dyDescent="0.35">
      <c r="A6" s="273" t="s">
        <v>160</v>
      </c>
      <c r="B6" s="264" t="s">
        <v>161</v>
      </c>
      <c r="C6" s="282"/>
      <c r="D6" s="283"/>
      <c r="E6" s="284"/>
      <c r="F6" s="285"/>
      <c r="G6" s="286"/>
      <c r="H6" s="287"/>
      <c r="I6" s="288"/>
      <c r="J6" s="289">
        <f>'Current Balance Sheet'!E13-'Current Balance Sheet'!E35</f>
        <v>220518</v>
      </c>
      <c r="K6" s="290"/>
      <c r="L6" s="290"/>
      <c r="M6" s="287"/>
      <c r="N6" s="291"/>
      <c r="O6" s="292"/>
      <c r="P6" s="244"/>
      <c r="Q6" s="244"/>
    </row>
    <row r="7" spans="1:17" x14ac:dyDescent="0.35">
      <c r="A7" s="273" t="s">
        <v>162</v>
      </c>
      <c r="B7" s="264" t="s">
        <v>163</v>
      </c>
      <c r="C7" s="156" t="s">
        <v>118</v>
      </c>
      <c r="D7" s="157" t="s">
        <v>119</v>
      </c>
      <c r="E7" s="274" t="s">
        <v>120</v>
      </c>
      <c r="F7" s="275"/>
      <c r="G7" s="293"/>
      <c r="H7" s="294"/>
      <c r="I7" s="295"/>
      <c r="J7" s="296">
        <f>J6/'Cash Earnings'!F27</f>
        <v>0.21670571309522874</v>
      </c>
      <c r="K7" s="294"/>
      <c r="L7" s="294"/>
      <c r="M7" s="294"/>
      <c r="N7" s="297"/>
      <c r="O7" s="298"/>
      <c r="P7" s="244"/>
      <c r="Q7" s="244"/>
    </row>
    <row r="8" spans="1:17" x14ac:dyDescent="0.35">
      <c r="A8" s="299"/>
      <c r="B8" s="268" t="s">
        <v>164</v>
      </c>
      <c r="C8" s="156" t="s">
        <v>142</v>
      </c>
      <c r="D8" s="160" t="s">
        <v>165</v>
      </c>
      <c r="E8" s="274" t="s">
        <v>141</v>
      </c>
      <c r="F8" s="275"/>
      <c r="G8" s="293"/>
      <c r="H8" s="294"/>
      <c r="I8" s="295"/>
      <c r="J8" s="296">
        <f>J6/'Cash Earnings'!F58</f>
        <v>0.22200253092429073</v>
      </c>
      <c r="K8" s="294"/>
      <c r="L8" s="294"/>
      <c r="M8" s="294"/>
      <c r="N8" s="297"/>
      <c r="O8" s="298"/>
      <c r="P8" s="244"/>
      <c r="Q8" s="244"/>
    </row>
    <row r="9" spans="1:17" ht="18.5" x14ac:dyDescent="0.45">
      <c r="A9" s="263" t="s">
        <v>166</v>
      </c>
      <c r="B9" s="264"/>
      <c r="C9" s="159"/>
      <c r="D9" s="160"/>
      <c r="E9" s="274"/>
      <c r="F9" s="275"/>
      <c r="G9" s="276"/>
      <c r="H9" s="300"/>
      <c r="I9" s="278"/>
      <c r="J9" s="296"/>
      <c r="K9" s="290"/>
      <c r="L9" s="277"/>
      <c r="M9" s="268"/>
      <c r="N9" s="271"/>
      <c r="O9" s="272"/>
      <c r="P9" s="244"/>
      <c r="Q9" s="244"/>
    </row>
    <row r="10" spans="1:17" x14ac:dyDescent="0.35">
      <c r="A10" s="273" t="s">
        <v>167</v>
      </c>
      <c r="B10" s="264" t="s">
        <v>138</v>
      </c>
      <c r="C10" s="159" t="s">
        <v>121</v>
      </c>
      <c r="D10" s="160" t="s">
        <v>122</v>
      </c>
      <c r="E10" s="274" t="s">
        <v>123</v>
      </c>
      <c r="F10" s="275"/>
      <c r="G10" s="293"/>
      <c r="H10" s="294"/>
      <c r="I10" s="295"/>
      <c r="J10" s="296">
        <f>'Current Balance Sheet'!E41/'Current Balance Sheet'!E24</f>
        <v>0.33227726046508937</v>
      </c>
      <c r="K10" s="294"/>
      <c r="L10" s="294"/>
      <c r="M10" s="294"/>
      <c r="N10" s="297"/>
      <c r="O10" s="298"/>
      <c r="P10" s="244"/>
      <c r="Q10" s="244"/>
    </row>
    <row r="11" spans="1:17" x14ac:dyDescent="0.35">
      <c r="A11" s="273" t="s">
        <v>168</v>
      </c>
      <c r="B11" s="264" t="s">
        <v>169</v>
      </c>
      <c r="C11" s="159" t="s">
        <v>170</v>
      </c>
      <c r="D11" s="160" t="s">
        <v>171</v>
      </c>
      <c r="E11" s="274" t="s">
        <v>172</v>
      </c>
      <c r="F11" s="275"/>
      <c r="G11" s="293"/>
      <c r="H11" s="294"/>
      <c r="I11" s="295"/>
      <c r="J11" s="296">
        <f>'Current Balance Sheet'!E43/'Current Balance Sheet'!E24</f>
        <v>0.66772273953491068</v>
      </c>
      <c r="K11" s="294"/>
      <c r="L11" s="294"/>
      <c r="M11" s="301"/>
      <c r="N11" s="302"/>
      <c r="O11" s="303"/>
      <c r="P11" s="244"/>
      <c r="Q11" s="244"/>
    </row>
    <row r="12" spans="1:17" x14ac:dyDescent="0.35">
      <c r="A12" s="273" t="s">
        <v>173</v>
      </c>
      <c r="B12" s="264" t="s">
        <v>174</v>
      </c>
      <c r="C12" s="159" t="s">
        <v>175</v>
      </c>
      <c r="D12" s="160" t="s">
        <v>176</v>
      </c>
      <c r="E12" s="274" t="s">
        <v>177</v>
      </c>
      <c r="F12" s="275"/>
      <c r="G12" s="304"/>
      <c r="H12" s="305"/>
      <c r="I12" s="306"/>
      <c r="J12" s="307">
        <f>'Current Balance Sheet'!E41/'Current Balance Sheet'!E43</f>
        <v>0.49762759419655328</v>
      </c>
      <c r="K12" s="300"/>
      <c r="L12" s="277"/>
      <c r="M12" s="305"/>
      <c r="N12" s="308"/>
      <c r="O12" s="309"/>
      <c r="P12" s="244"/>
      <c r="Q12" s="244"/>
    </row>
    <row r="13" spans="1:17" ht="18.5" x14ac:dyDescent="0.45">
      <c r="A13" s="263" t="s">
        <v>178</v>
      </c>
      <c r="B13" s="264"/>
      <c r="C13" s="159"/>
      <c r="D13" s="160"/>
      <c r="E13" s="274"/>
      <c r="F13" s="275"/>
      <c r="G13" s="276"/>
      <c r="H13" s="300"/>
      <c r="I13" s="278"/>
      <c r="J13" s="296"/>
      <c r="K13" s="290"/>
      <c r="L13" s="277"/>
      <c r="M13" s="268"/>
      <c r="N13" s="271"/>
      <c r="O13" s="272"/>
      <c r="P13" s="244"/>
      <c r="Q13" s="244"/>
    </row>
    <row r="14" spans="1:17" ht="18.5" x14ac:dyDescent="0.45">
      <c r="A14" s="263"/>
      <c r="B14" s="264" t="s">
        <v>179</v>
      </c>
      <c r="C14" s="159"/>
      <c r="D14" s="160"/>
      <c r="E14" s="274"/>
      <c r="F14" s="275"/>
      <c r="G14" s="310">
        <f>AVERAGE(J14:L14)</f>
        <v>-18028.333333333332</v>
      </c>
      <c r="H14" s="311">
        <f>AVERAGE(J14:N14)</f>
        <v>11041</v>
      </c>
      <c r="I14" s="278"/>
      <c r="J14" s="289">
        <f>'Cash Earnings'!F27-'Cash Earnings'!F58-'Cash Earnings'!F61</f>
        <v>-47386</v>
      </c>
      <c r="K14" s="290">
        <f>'Cash Earnings'!G27-'Cash Earnings'!G58-'Cash Earnings'!G61</f>
        <v>8891</v>
      </c>
      <c r="L14" s="290">
        <f>'Cash Earnings'!H27-'Cash Earnings'!H58-'Cash Earnings'!H61</f>
        <v>-15590</v>
      </c>
      <c r="M14" s="290">
        <f>'Cash Earnings'!I27-'Cash Earnings'!I58-'Cash Earnings'!I61</f>
        <v>68116</v>
      </c>
      <c r="N14" s="290">
        <f>'Cash Earnings'!J27-'Cash Earnings'!J58-'Cash Earnings'!J61</f>
        <v>41174</v>
      </c>
      <c r="O14" s="312"/>
      <c r="P14" s="244"/>
      <c r="Q14" s="244"/>
    </row>
    <row r="15" spans="1:17" ht="18.5" x14ac:dyDescent="0.45">
      <c r="A15" s="263"/>
      <c r="B15" s="264" t="s">
        <v>180</v>
      </c>
      <c r="C15" s="159"/>
      <c r="D15" s="160"/>
      <c r="E15" s="274"/>
      <c r="F15" s="275"/>
      <c r="G15" s="310">
        <f>AVERAGE(J15:L15)</f>
        <v>37504.666666666664</v>
      </c>
      <c r="H15" s="311">
        <f>AVERAGE(J15:N15)</f>
        <v>66721.8</v>
      </c>
      <c r="I15" s="288"/>
      <c r="J15" s="289">
        <f>'Cash Earnings'!F60</f>
        <v>24279</v>
      </c>
      <c r="K15" s="290">
        <f>'Cash Earnings'!G60</f>
        <v>53688</v>
      </c>
      <c r="L15" s="290">
        <f>'Cash Earnings'!H60</f>
        <v>34547</v>
      </c>
      <c r="M15" s="290">
        <f>'Cash Earnings'!I60</f>
        <v>123056</v>
      </c>
      <c r="N15" s="290">
        <f>'Cash Earnings'!J60</f>
        <v>98039</v>
      </c>
      <c r="O15" s="312"/>
      <c r="P15" s="244"/>
      <c r="Q15" s="244"/>
    </row>
    <row r="16" spans="1:17" x14ac:dyDescent="0.35">
      <c r="A16" s="273" t="s">
        <v>181</v>
      </c>
      <c r="B16" s="264" t="s">
        <v>115</v>
      </c>
      <c r="C16" s="265"/>
      <c r="D16" s="160"/>
      <c r="E16" s="266"/>
      <c r="F16" s="247"/>
      <c r="G16" s="310">
        <f>AVERAGE(J16:L16)</f>
        <v>-10692.333333333334</v>
      </c>
      <c r="H16" s="311">
        <f>AVERAGE(J16:N16)</f>
        <v>16088</v>
      </c>
      <c r="I16" s="288"/>
      <c r="J16" s="289">
        <f>'Cash Earnings'!F64</f>
        <v>-57382</v>
      </c>
      <c r="K16" s="290">
        <f>'Cash Earnings'!G64</f>
        <v>40203</v>
      </c>
      <c r="L16" s="290">
        <f>'Cash Earnings'!H64</f>
        <v>-14898</v>
      </c>
      <c r="M16" s="290">
        <f>'Cash Earnings'!I64</f>
        <v>71277</v>
      </c>
      <c r="N16" s="290">
        <f>'Cash Earnings'!J64</f>
        <v>41240</v>
      </c>
      <c r="O16" s="312"/>
      <c r="P16" s="244"/>
      <c r="Q16" s="244"/>
    </row>
    <row r="17" spans="1:17" ht="17.5" x14ac:dyDescent="0.35">
      <c r="A17" s="273" t="s">
        <v>182</v>
      </c>
      <c r="B17" s="264" t="s">
        <v>183</v>
      </c>
      <c r="C17" s="159" t="s">
        <v>124</v>
      </c>
      <c r="D17" s="160" t="s">
        <v>125</v>
      </c>
      <c r="E17" s="274" t="s">
        <v>126</v>
      </c>
      <c r="F17" s="275"/>
      <c r="G17" s="293">
        <f>AVERAGE(J17:L17)</f>
        <v>2.0812709972347814E-3</v>
      </c>
      <c r="H17" s="294">
        <f>AVERAGE(J17:N17)</f>
        <v>7.3668454507036544E-3</v>
      </c>
      <c r="I17" s="295"/>
      <c r="J17" s="296">
        <f>('Cash Earnings'!F60-'Current Balance Sheet'!$F$54)/'Current Balance Sheet'!$E$24</f>
        <v>-3.1134038821125271E-4</v>
      </c>
      <c r="K17" s="294">
        <f>('Cash Earnings'!G60-'Current Balance Sheet'!$F$54)/'Current Balance Sheet'!$E$24</f>
        <v>5.0089440260274055E-3</v>
      </c>
      <c r="L17" s="294">
        <f>('Cash Earnings'!H60-'Current Balance Sheet'!$F$54)/'Current Balance Sheet'!$E$24</f>
        <v>1.5462093538881911E-3</v>
      </c>
      <c r="M17" s="294">
        <f>('Cash Earnings'!I60-'Current Balance Sheet'!$F$54)/'Current Balance Sheet'!$E$24</f>
        <v>1.7558078279042034E-2</v>
      </c>
      <c r="N17" s="294">
        <f>('Cash Earnings'!J60-'Current Balance Sheet'!$F$54)/'Current Balance Sheet'!$E$24</f>
        <v>1.3032335982771896E-2</v>
      </c>
      <c r="O17" s="298"/>
      <c r="P17" s="244"/>
      <c r="Q17" s="244"/>
    </row>
    <row r="18" spans="1:17" ht="17.5" x14ac:dyDescent="0.35">
      <c r="A18" s="273" t="s">
        <v>184</v>
      </c>
      <c r="B18" s="264" t="s">
        <v>185</v>
      </c>
      <c r="C18" s="159" t="s">
        <v>139</v>
      </c>
      <c r="D18" s="160" t="s">
        <v>140</v>
      </c>
      <c r="E18" s="274" t="s">
        <v>135</v>
      </c>
      <c r="F18" s="275"/>
      <c r="G18" s="293"/>
      <c r="H18" s="294"/>
      <c r="I18" s="295"/>
      <c r="J18" s="296">
        <f>('Cash Earnings'!F60-'Current Balance Sheet'!F54)/'Current Balance Sheet'!E43</f>
        <v>-4.6627195657303929E-4</v>
      </c>
      <c r="K18" s="294"/>
      <c r="L18" s="294"/>
      <c r="M18" s="294"/>
      <c r="N18" s="294"/>
      <c r="O18" s="298"/>
      <c r="P18" s="244"/>
      <c r="Q18" s="244"/>
    </row>
    <row r="19" spans="1:17" ht="17.5" x14ac:dyDescent="0.35">
      <c r="A19" s="273" t="s">
        <v>186</v>
      </c>
      <c r="B19" s="264" t="s">
        <v>187</v>
      </c>
      <c r="C19" s="159" t="s">
        <v>129</v>
      </c>
      <c r="D19" s="160" t="s">
        <v>130</v>
      </c>
      <c r="E19" s="274" t="s">
        <v>131</v>
      </c>
      <c r="F19" s="275"/>
      <c r="G19" s="293">
        <f>AVERAGE(J19:L19)</f>
        <v>9.472261012660483E-3</v>
      </c>
      <c r="H19" s="294">
        <f>AVERAGE(J19:N19)</f>
        <v>3.4018860979772331E-2</v>
      </c>
      <c r="I19" s="295"/>
      <c r="J19" s="296">
        <f>('Cash Earnings'!F60-'Current Balance Sheet'!F54)/'Cash Earnings'!F27</f>
        <v>-1.6912475727010432E-3</v>
      </c>
      <c r="K19" s="294">
        <f>('Cash Earnings'!G60-'Current Balance Sheet'!F54)/'Cash Earnings'!G27</f>
        <v>2.4095190273507563E-2</v>
      </c>
      <c r="L19" s="294">
        <f>('Cash Earnings'!H60-'Current Balance Sheet'!F54)/'Cash Earnings'!H27</f>
        <v>6.0128403371749288E-3</v>
      </c>
      <c r="M19" s="294">
        <f>('Cash Earnings'!I60-'Current Balance Sheet'!F54)/'Cash Earnings'!I27</f>
        <v>7.98555859252226E-2</v>
      </c>
      <c r="N19" s="294">
        <f>('Cash Earnings'!J60-'Current Balance Sheet'!F54)/'Cash Earnings'!J27</f>
        <v>6.1821935935657608E-2</v>
      </c>
      <c r="O19" s="298"/>
      <c r="P19" s="244"/>
      <c r="Q19" s="244"/>
    </row>
    <row r="20" spans="1:17" x14ac:dyDescent="0.35">
      <c r="A20" s="273" t="s">
        <v>188</v>
      </c>
      <c r="B20" s="264" t="s">
        <v>189</v>
      </c>
      <c r="C20" s="159"/>
      <c r="D20" s="160"/>
      <c r="E20" s="266"/>
      <c r="F20" s="247"/>
      <c r="G20" s="310">
        <f>AVERAGE(J20:L20)</f>
        <v>181186.33333333334</v>
      </c>
      <c r="H20" s="311">
        <f>AVERAGE(J20:N20)</f>
        <v>206307</v>
      </c>
      <c r="I20" s="288"/>
      <c r="J20" s="289">
        <f>'Cash Earnings'!F27-'Cash Earnings'!F56</f>
        <v>87387</v>
      </c>
      <c r="K20" s="290">
        <f>'Cash Earnings'!G27-'Cash Earnings'!G56</f>
        <v>182066</v>
      </c>
      <c r="L20" s="290">
        <f>'Cash Earnings'!H27-'Cash Earnings'!H56</f>
        <v>274106</v>
      </c>
      <c r="M20" s="290">
        <f>'Cash Earnings'!I27-'Cash Earnings'!I56</f>
        <v>225567</v>
      </c>
      <c r="N20" s="290">
        <f>'Cash Earnings'!J27-'Cash Earnings'!J56</f>
        <v>262409</v>
      </c>
      <c r="O20" s="312"/>
      <c r="P20" s="244"/>
      <c r="Q20" s="244"/>
    </row>
    <row r="21" spans="1:17" x14ac:dyDescent="0.35">
      <c r="A21" s="273"/>
      <c r="B21" s="264" t="s">
        <v>190</v>
      </c>
      <c r="C21" s="313"/>
      <c r="D21" s="313" t="s">
        <v>191</v>
      </c>
      <c r="E21" s="314"/>
      <c r="F21" s="247"/>
      <c r="G21" s="276"/>
      <c r="H21" s="300"/>
      <c r="I21" s="278"/>
      <c r="J21" s="296" t="str">
        <f>IF(J18&gt;=J17,"Yes","No")</f>
        <v>No</v>
      </c>
      <c r="K21" s="290"/>
      <c r="L21" s="277"/>
      <c r="M21" s="277"/>
      <c r="N21" s="277"/>
      <c r="O21" s="281"/>
      <c r="P21" s="244"/>
      <c r="Q21" s="244"/>
    </row>
    <row r="22" spans="1:17" ht="18.5" x14ac:dyDescent="0.45">
      <c r="A22" s="263" t="s">
        <v>192</v>
      </c>
      <c r="B22" s="264"/>
      <c r="C22" s="265"/>
      <c r="D22" s="160"/>
      <c r="E22" s="266"/>
      <c r="F22" s="247"/>
      <c r="G22" s="276"/>
      <c r="H22" s="300"/>
      <c r="I22" s="278"/>
      <c r="J22" s="296"/>
      <c r="K22" s="290"/>
      <c r="L22" s="277"/>
      <c r="M22" s="277"/>
      <c r="N22" s="277"/>
      <c r="O22" s="272"/>
      <c r="P22" s="244"/>
      <c r="Q22" s="244"/>
    </row>
    <row r="23" spans="1:17" x14ac:dyDescent="0.35">
      <c r="A23" s="273" t="s">
        <v>193</v>
      </c>
      <c r="B23" s="264" t="s">
        <v>194</v>
      </c>
      <c r="C23" s="282"/>
      <c r="D23" s="283"/>
      <c r="E23" s="284"/>
      <c r="F23" s="285"/>
      <c r="G23" s="310">
        <f>AVERAGE(J23:L23)</f>
        <v>213186.33333333334</v>
      </c>
      <c r="H23" s="311">
        <f>AVERAGE(J23:N23)</f>
        <v>235307</v>
      </c>
      <c r="I23" s="288"/>
      <c r="J23" s="289">
        <f>'Cash Earnings'!F64+'Cash Earnings'!F65+'Cash Earnings'!F57+'Cash Earnings'!F61-'Cash Earnings'!F62-'Cash Earnings'!F66-'Current Balance Sheet'!$F$54-'Cash Earnings'!F67</f>
        <v>121387</v>
      </c>
      <c r="K23" s="290">
        <f>'Cash Earnings'!G64+'Cash Earnings'!G65+'Cash Earnings'!G57+'Cash Earnings'!G61-'Cash Earnings'!G62-'Cash Earnings'!G66-'Current Balance Sheet'!$F$54-'Cash Earnings'!G67</f>
        <v>214066</v>
      </c>
      <c r="L23" s="290">
        <f>'Cash Earnings'!H64+'Cash Earnings'!H65+'Cash Earnings'!H57+'Cash Earnings'!H61-'Cash Earnings'!H62-'Cash Earnings'!H66-'Current Balance Sheet'!$F$54-'Cash Earnings'!H67</f>
        <v>304106</v>
      </c>
      <c r="M23" s="290">
        <f>'Cash Earnings'!I64+'Cash Earnings'!I65+'Cash Earnings'!I57+'Cash Earnings'!I61-'Cash Earnings'!I62-'Cash Earnings'!I66-'Current Balance Sheet'!$F$54-'Cash Earnings'!I67</f>
        <v>250567</v>
      </c>
      <c r="N23" s="290">
        <f>'Cash Earnings'!J64+'Cash Earnings'!J65+'Cash Earnings'!J57+'Cash Earnings'!J61-'Cash Earnings'!J62-'Cash Earnings'!J66-'Current Balance Sheet'!$F$54-'Cash Earnings'!J67</f>
        <v>286409</v>
      </c>
      <c r="O23" s="315"/>
      <c r="P23" s="244"/>
      <c r="Q23" s="244"/>
    </row>
    <row r="24" spans="1:17" x14ac:dyDescent="0.35">
      <c r="A24" s="273" t="s">
        <v>195</v>
      </c>
      <c r="B24" s="264" t="s">
        <v>196</v>
      </c>
      <c r="C24" s="282"/>
      <c r="D24" s="283"/>
      <c r="E24" s="284"/>
      <c r="F24" s="285"/>
      <c r="G24" s="286"/>
      <c r="H24" s="287"/>
      <c r="I24" s="288"/>
      <c r="J24" s="289">
        <f>J23-('Current Balance Sheet'!E30+(('Current Balance Sheet'!E30+'Current Balance Sheet'!E29+'Current Balance Sheet'!E38)*'Current Balance Sheet'!F57))</f>
        <v>-37537.765000000014</v>
      </c>
      <c r="K24" s="290"/>
      <c r="L24" s="290"/>
      <c r="M24" s="290"/>
      <c r="N24" s="290"/>
      <c r="O24" s="292"/>
      <c r="P24" s="244"/>
      <c r="Q24" s="244"/>
    </row>
    <row r="25" spans="1:17" x14ac:dyDescent="0.35">
      <c r="A25" s="273" t="s">
        <v>197</v>
      </c>
      <c r="B25" s="264" t="s">
        <v>198</v>
      </c>
      <c r="C25" s="282"/>
      <c r="D25" s="283"/>
      <c r="E25" s="284"/>
      <c r="F25" s="285"/>
      <c r="G25" s="286"/>
      <c r="H25" s="287"/>
      <c r="I25" s="288"/>
      <c r="J25" s="289">
        <f>J24-('Cash Earnings'!F57*(1-('Current Balance Sheet'!E40/('Current Balance Sheet'!E23-'Current Balance Sheet'!E15))))</f>
        <v>-78939.507430847996</v>
      </c>
      <c r="K25" s="290"/>
      <c r="L25" s="290"/>
      <c r="M25" s="290"/>
      <c r="N25" s="290"/>
      <c r="O25" s="292"/>
      <c r="P25" s="244"/>
      <c r="Q25" s="244"/>
    </row>
    <row r="26" spans="1:17" x14ac:dyDescent="0.35">
      <c r="A26" s="273" t="s">
        <v>199</v>
      </c>
      <c r="B26" s="264" t="s">
        <v>200</v>
      </c>
      <c r="C26" s="159" t="s">
        <v>201</v>
      </c>
      <c r="D26" s="160" t="s">
        <v>202</v>
      </c>
      <c r="E26" s="274" t="s">
        <v>203</v>
      </c>
      <c r="F26" s="275"/>
      <c r="G26" s="276"/>
      <c r="H26" s="277"/>
      <c r="I26" s="278"/>
      <c r="J26" s="316">
        <f>J23/('Current Balance Sheet'!E30+(('Current Balance Sheet'!E30+'Current Balance Sheet'!E29+'Current Balance Sheet'!E38)*'Current Balance Sheet'!F57))</f>
        <v>0.76380166426547802</v>
      </c>
      <c r="K26" s="300"/>
      <c r="L26" s="277"/>
      <c r="M26" s="277"/>
      <c r="N26" s="277"/>
      <c r="O26" s="281"/>
      <c r="P26" s="244"/>
      <c r="Q26" s="244"/>
    </row>
    <row r="27" spans="1:17" x14ac:dyDescent="0.35">
      <c r="A27" s="273" t="s">
        <v>204</v>
      </c>
      <c r="B27" s="264" t="s">
        <v>205</v>
      </c>
      <c r="C27" s="159" t="s">
        <v>206</v>
      </c>
      <c r="D27" s="160" t="s">
        <v>207</v>
      </c>
      <c r="E27" s="274" t="s">
        <v>208</v>
      </c>
      <c r="F27" s="275"/>
      <c r="G27" s="276"/>
      <c r="H27" s="277"/>
      <c r="I27" s="278"/>
      <c r="J27" s="316">
        <f>J23/('Current Balance Sheet'!E30+(('Current Balance Sheet'!E30+'Current Balance Sheet'!E29+'Current Balance Sheet'!E38)*'Current Balance Sheet'!F57)+('Cash Earnings'!F57*('Current Balance Sheet'!E40/('Current Balance Sheet'!E23-'Current Balance Sheet'!E15))))</f>
        <v>0.67201634732222548</v>
      </c>
      <c r="K27" s="300"/>
      <c r="L27" s="277"/>
      <c r="M27" s="277"/>
      <c r="N27" s="277"/>
      <c r="O27" s="281"/>
      <c r="P27" s="244"/>
      <c r="Q27" s="244"/>
    </row>
    <row r="28" spans="1:17" ht="18.5" x14ac:dyDescent="0.45">
      <c r="A28" s="263" t="s">
        <v>209</v>
      </c>
      <c r="B28" s="264"/>
      <c r="C28" s="159"/>
      <c r="D28" s="160"/>
      <c r="E28" s="274"/>
      <c r="F28" s="275"/>
      <c r="G28" s="276"/>
      <c r="H28" s="300"/>
      <c r="I28" s="278"/>
      <c r="J28" s="296"/>
      <c r="K28" s="290"/>
      <c r="L28" s="277"/>
      <c r="M28" s="277"/>
      <c r="N28" s="277"/>
      <c r="O28" s="272"/>
      <c r="P28" s="244"/>
      <c r="Q28" s="244"/>
    </row>
    <row r="29" spans="1:17" x14ac:dyDescent="0.35">
      <c r="A29" s="273" t="s">
        <v>210</v>
      </c>
      <c r="B29" s="264" t="s">
        <v>211</v>
      </c>
      <c r="C29" s="159" t="s">
        <v>123</v>
      </c>
      <c r="D29" s="160" t="s">
        <v>127</v>
      </c>
      <c r="E29" s="274" t="s">
        <v>128</v>
      </c>
      <c r="F29" s="275"/>
      <c r="G29" s="293"/>
      <c r="H29" s="294"/>
      <c r="I29" s="295"/>
      <c r="J29" s="296">
        <f>'Cash Earnings'!F27/'Current Balance Sheet'!$E$24</f>
        <v>0.1840891855436752</v>
      </c>
      <c r="K29" s="294"/>
      <c r="L29" s="294"/>
      <c r="M29" s="294"/>
      <c r="N29" s="294"/>
      <c r="O29" s="298"/>
      <c r="P29" s="244"/>
      <c r="Q29" s="244"/>
    </row>
    <row r="30" spans="1:17" ht="17.5" x14ac:dyDescent="0.35">
      <c r="A30" s="273" t="s">
        <v>212</v>
      </c>
      <c r="B30" s="264" t="s">
        <v>213</v>
      </c>
      <c r="C30" s="159" t="s">
        <v>132</v>
      </c>
      <c r="D30" s="160" t="s">
        <v>133</v>
      </c>
      <c r="E30" s="274" t="s">
        <v>134</v>
      </c>
      <c r="F30" s="275"/>
      <c r="G30" s="293">
        <f t="shared" ref="G30:G35" si="0">AVERAGE(J30:L30)</f>
        <v>0.85428277247503115</v>
      </c>
      <c r="H30" s="294">
        <f t="shared" ref="H30:H35" si="1">AVERAGE(J30:N30)</f>
        <v>0.83041285793921948</v>
      </c>
      <c r="I30" s="295"/>
      <c r="J30" s="296">
        <f>'Cash Earnings'!F56/'Cash Earnings'!F27</f>
        <v>0.91412373524949098</v>
      </c>
      <c r="K30" s="294">
        <f>'Cash Earnings'!G56/'Cash Earnings'!G27</f>
        <v>0.84155898178501776</v>
      </c>
      <c r="L30" s="294">
        <f>'Cash Earnings'!H56/'Cash Earnings'!H27</f>
        <v>0.80716560039058483</v>
      </c>
      <c r="M30" s="294">
        <f>'Cash Earnings'!I56/'Cash Earnings'!I27</f>
        <v>0.81440833178376726</v>
      </c>
      <c r="N30" s="294">
        <f>'Cash Earnings'!J56/'Cash Earnings'!J27</f>
        <v>0.77480764048723638</v>
      </c>
      <c r="O30" s="298"/>
      <c r="P30" s="244"/>
      <c r="Q30" s="244"/>
    </row>
    <row r="31" spans="1:17" ht="17.5" x14ac:dyDescent="0.35">
      <c r="A31" s="317"/>
      <c r="B31" s="264" t="s">
        <v>214</v>
      </c>
      <c r="C31" s="159"/>
      <c r="D31" s="160"/>
      <c r="E31" s="274"/>
      <c r="F31" s="275"/>
      <c r="G31" s="293">
        <f t="shared" si="0"/>
        <v>0.76329246574421739</v>
      </c>
      <c r="H31" s="294">
        <f t="shared" si="1"/>
        <v>0.73884784849747143</v>
      </c>
      <c r="I31" s="295"/>
      <c r="J31" s="296">
        <f>('Cash Earnings'!F56-'Cash Earnings'!F30)/'Cash Earnings'!F27</f>
        <v>0.80294066777254536</v>
      </c>
      <c r="K31" s="294">
        <f>('Cash Earnings'!G56-'Cash Earnings'!G30)/'Cash Earnings'!G27</f>
        <v>0.7517050166694369</v>
      </c>
      <c r="L31" s="294">
        <f>('Cash Earnings'!H56-'Cash Earnings'!H30)/'Cash Earnings'!H27</f>
        <v>0.7352317127906699</v>
      </c>
      <c r="M31" s="294">
        <f>('Cash Earnings'!I56-'Cash Earnings'!I30)/'Cash Earnings'!I27</f>
        <v>0.71349126291556486</v>
      </c>
      <c r="N31" s="294">
        <f>('Cash Earnings'!J56-'Cash Earnings'!J30)/'Cash Earnings'!J27</f>
        <v>0.69087058233913978</v>
      </c>
      <c r="O31" s="298"/>
      <c r="P31" s="244"/>
      <c r="Q31" s="244"/>
    </row>
    <row r="32" spans="1:17" ht="17.5" x14ac:dyDescent="0.35">
      <c r="A32" s="273"/>
      <c r="B32" s="264" t="s">
        <v>215</v>
      </c>
      <c r="C32" s="159"/>
      <c r="D32" s="160"/>
      <c r="E32" s="274"/>
      <c r="F32" s="275"/>
      <c r="G32" s="293">
        <f t="shared" si="0"/>
        <v>9.0990306730813819E-2</v>
      </c>
      <c r="H32" s="294">
        <f t="shared" si="1"/>
        <v>9.1565009441748099E-2</v>
      </c>
      <c r="I32" s="295"/>
      <c r="J32" s="296">
        <f>'Cash Earnings'!F30/'Cash Earnings'!F27</f>
        <v>0.11118306747694558</v>
      </c>
      <c r="K32" s="294">
        <f>'Cash Earnings'!G30/'Cash Earnings'!G27</f>
        <v>8.9853965115580858E-2</v>
      </c>
      <c r="L32" s="294">
        <f>'Cash Earnings'!H30/'Cash Earnings'!H27</f>
        <v>7.1933887599915022E-2</v>
      </c>
      <c r="M32" s="294">
        <f>'Cash Earnings'!I30/'Cash Earnings'!I27</f>
        <v>0.10091706886820241</v>
      </c>
      <c r="N32" s="294">
        <f>'Cash Earnings'!J30/'Cash Earnings'!J27</f>
        <v>8.3937058148096655E-2</v>
      </c>
      <c r="O32" s="298"/>
      <c r="P32" s="244"/>
      <c r="Q32" s="244"/>
    </row>
    <row r="33" spans="1:17" x14ac:dyDescent="0.35">
      <c r="A33" s="273" t="s">
        <v>216</v>
      </c>
      <c r="B33" s="264" t="s">
        <v>72</v>
      </c>
      <c r="C33" s="159" t="s">
        <v>135</v>
      </c>
      <c r="D33" s="160" t="s">
        <v>136</v>
      </c>
      <c r="E33" s="274" t="s">
        <v>137</v>
      </c>
      <c r="F33" s="275"/>
      <c r="G33" s="293">
        <f t="shared" si="0"/>
        <v>0.1140890265157652</v>
      </c>
      <c r="H33" s="294">
        <f t="shared" si="1"/>
        <v>0.11353376869890916</v>
      </c>
      <c r="I33" s="295"/>
      <c r="J33" s="296">
        <f>'Cash Earnings'!F57/'Cash Earnings'!F27</f>
        <v>6.2016996988970036E-2</v>
      </c>
      <c r="K33" s="294">
        <f>'Cash Earnings'!G57/'Cash Earnings'!G27</f>
        <v>0.1117196018828501</v>
      </c>
      <c r="L33" s="294">
        <f>'Cash Earnings'!H57/'Cash Earnings'!H27</f>
        <v>0.16853048067547546</v>
      </c>
      <c r="M33" s="294">
        <f>'Cash Earnings'!I57/'Cash Earnings'!I27</f>
        <v>8.4343842408305461E-2</v>
      </c>
      <c r="N33" s="294">
        <f>'Cash Earnings'!J57/'Cash Earnings'!J27</f>
        <v>0.14105792153894475</v>
      </c>
      <c r="O33" s="298"/>
      <c r="P33" s="244"/>
      <c r="Q33" s="244"/>
    </row>
    <row r="34" spans="1:17" x14ac:dyDescent="0.35">
      <c r="A34" s="273" t="s">
        <v>217</v>
      </c>
      <c r="B34" s="264" t="s">
        <v>73</v>
      </c>
      <c r="C34" s="159" t="s">
        <v>135</v>
      </c>
      <c r="D34" s="160" t="s">
        <v>136</v>
      </c>
      <c r="E34" s="274" t="s">
        <v>137</v>
      </c>
      <c r="F34" s="275"/>
      <c r="G34" s="293">
        <f t="shared" si="0"/>
        <v>4.822723766387834E-2</v>
      </c>
      <c r="H34" s="294">
        <f t="shared" si="1"/>
        <v>4.7737035579525737E-2</v>
      </c>
      <c r="I34" s="295"/>
      <c r="J34" s="296">
        <f>'Cash Earnings'!F61/'Cash Earnings'!F27</f>
        <v>7.0426064670319741E-2</v>
      </c>
      <c r="K34" s="294">
        <f>'Cash Earnings'!G61/'Cash Earnings'!G27</f>
        <v>3.8984117259546307E-2</v>
      </c>
      <c r="L34" s="294">
        <f>'Cash Earnings'!H61/'Cash Earnings'!H27</f>
        <v>3.5271531061768974E-2</v>
      </c>
      <c r="M34" s="294">
        <f>'Cash Earnings'!I61/'Cash Earnings'!I27</f>
        <v>4.5203448429069093E-2</v>
      </c>
      <c r="N34" s="294">
        <f>'Cash Earnings'!J61/'Cash Earnings'!J27</f>
        <v>4.8800016476924585E-2</v>
      </c>
      <c r="O34" s="298"/>
      <c r="P34" s="244"/>
      <c r="Q34" s="244"/>
    </row>
    <row r="35" spans="1:17" ht="16" thickBot="1" x14ac:dyDescent="0.4">
      <c r="A35" s="273" t="s">
        <v>218</v>
      </c>
      <c r="B35" s="264" t="s">
        <v>219</v>
      </c>
      <c r="C35" s="159" t="s">
        <v>118</v>
      </c>
      <c r="D35" s="160" t="s">
        <v>220</v>
      </c>
      <c r="E35" s="274" t="s">
        <v>221</v>
      </c>
      <c r="F35" s="275"/>
      <c r="G35" s="293">
        <f t="shared" si="0"/>
        <v>-1.6599036654674746E-2</v>
      </c>
      <c r="H35" s="294">
        <f t="shared" si="1"/>
        <v>8.3163377823456501E-3</v>
      </c>
      <c r="I35" s="295"/>
      <c r="J35" s="318">
        <f>('Cash Earnings'!F60-'Cash Earnings'!F61)/'Cash Earnings'!F27</f>
        <v>-4.6566796908780732E-2</v>
      </c>
      <c r="K35" s="319">
        <f>('Cash Earnings'!G60-'Cash Earnings'!G61)/'Cash Earnings'!G27</f>
        <v>7.7372990725858033E-3</v>
      </c>
      <c r="L35" s="319">
        <f>('Cash Earnings'!H60-'Cash Earnings'!H61)/'Cash Earnings'!H27</f>
        <v>-1.0967612127829313E-2</v>
      </c>
      <c r="M35" s="319">
        <f>('Cash Earnings'!I60-'Cash Earnings'!I61)/'Cash Earnings'!I27</f>
        <v>5.6044377378858215E-2</v>
      </c>
      <c r="N35" s="319">
        <f>('Cash Earnings'!J60-'Cash Earnings'!J61)/'Cash Earnings'!J27</f>
        <v>3.5334421496894274E-2</v>
      </c>
      <c r="O35" s="298"/>
      <c r="P35" s="244"/>
      <c r="Q35" s="244"/>
    </row>
    <row r="36" spans="1:17" x14ac:dyDescent="0.35">
      <c r="A36" s="320"/>
      <c r="B36" s="243"/>
      <c r="C36" s="321"/>
      <c r="D36" s="322"/>
      <c r="E36" s="321"/>
      <c r="F36" s="275"/>
      <c r="G36" s="298"/>
      <c r="H36" s="298"/>
      <c r="I36" s="298"/>
      <c r="J36" s="244"/>
      <c r="K36" s="298"/>
      <c r="L36" s="298"/>
      <c r="M36" s="298"/>
      <c r="N36" s="298"/>
      <c r="O36" s="298"/>
      <c r="P36" s="244"/>
      <c r="Q36" s="244"/>
    </row>
    <row r="37" spans="1:17" ht="17.5" x14ac:dyDescent="0.35">
      <c r="A37" s="323" t="s">
        <v>294</v>
      </c>
      <c r="B37" s="382" t="s">
        <v>295</v>
      </c>
      <c r="C37" s="382"/>
      <c r="D37" s="382"/>
      <c r="E37" s="382"/>
      <c r="F37" s="382"/>
      <c r="G37" s="382"/>
      <c r="H37" s="382"/>
      <c r="I37" s="382"/>
      <c r="J37" s="382"/>
      <c r="K37" s="382"/>
      <c r="L37" s="382"/>
      <c r="M37" s="298"/>
      <c r="N37" s="298"/>
      <c r="O37" s="298"/>
      <c r="P37" s="244"/>
      <c r="Q37" s="244"/>
    </row>
    <row r="38" spans="1:17" ht="41" customHeight="1" x14ac:dyDescent="0.35">
      <c r="A38" s="323" t="s">
        <v>222</v>
      </c>
      <c r="B38" s="393" t="s">
        <v>223</v>
      </c>
      <c r="C38" s="393"/>
      <c r="D38" s="393"/>
      <c r="E38" s="393"/>
      <c r="F38" s="393"/>
      <c r="G38" s="393"/>
      <c r="H38" s="393"/>
      <c r="I38" s="393"/>
      <c r="J38" s="393"/>
      <c r="K38" s="393"/>
      <c r="L38" s="393"/>
      <c r="M38" s="298"/>
      <c r="N38" s="298"/>
      <c r="O38" s="298"/>
      <c r="P38" s="244"/>
      <c r="Q38" s="244"/>
    </row>
    <row r="39" spans="1:17" ht="42" customHeight="1" x14ac:dyDescent="0.35">
      <c r="A39" s="323" t="s">
        <v>224</v>
      </c>
      <c r="B39" s="381" t="s">
        <v>296</v>
      </c>
      <c r="C39" s="381"/>
      <c r="D39" s="381"/>
      <c r="E39" s="381"/>
      <c r="F39" s="381"/>
      <c r="G39" s="381"/>
      <c r="H39" s="381"/>
      <c r="I39" s="381"/>
      <c r="J39" s="381"/>
      <c r="K39" s="381"/>
      <c r="L39" s="381"/>
      <c r="M39" s="298"/>
      <c r="N39" s="298"/>
      <c r="O39" s="298"/>
      <c r="P39" s="244"/>
      <c r="Q39" s="244"/>
    </row>
    <row r="40" spans="1:17" ht="41.5" customHeight="1" x14ac:dyDescent="0.35">
      <c r="A40" s="323" t="s">
        <v>225</v>
      </c>
      <c r="B40" s="381" t="s">
        <v>297</v>
      </c>
      <c r="C40" s="381"/>
      <c r="D40" s="381"/>
      <c r="E40" s="381"/>
      <c r="F40" s="381"/>
      <c r="G40" s="381"/>
      <c r="H40" s="381"/>
      <c r="I40" s="381"/>
      <c r="J40" s="381"/>
      <c r="K40" s="381"/>
      <c r="L40" s="381"/>
      <c r="M40" s="298"/>
      <c r="N40" s="298"/>
      <c r="O40" s="298"/>
      <c r="P40" s="244"/>
      <c r="Q40" s="244"/>
    </row>
    <row r="41" spans="1:17" ht="28" customHeight="1" x14ac:dyDescent="0.35">
      <c r="A41" s="323" t="s">
        <v>226</v>
      </c>
      <c r="B41" s="381" t="s">
        <v>298</v>
      </c>
      <c r="C41" s="381"/>
      <c r="D41" s="381"/>
      <c r="E41" s="381"/>
      <c r="F41" s="381"/>
      <c r="G41" s="381"/>
      <c r="H41" s="381"/>
      <c r="I41" s="381"/>
      <c r="J41" s="381"/>
      <c r="K41" s="381"/>
      <c r="L41" s="381"/>
      <c r="M41" s="298"/>
      <c r="N41" s="298"/>
      <c r="O41" s="298"/>
      <c r="P41" s="244"/>
      <c r="Q41" s="244"/>
    </row>
    <row r="42" spans="1:17" x14ac:dyDescent="0.35">
      <c r="A42" s="320"/>
      <c r="B42" s="243"/>
      <c r="C42" s="324"/>
      <c r="D42" s="325"/>
      <c r="E42" s="324"/>
      <c r="F42" s="275"/>
      <c r="G42" s="298"/>
      <c r="H42" s="298"/>
      <c r="I42" s="298"/>
      <c r="J42" s="326"/>
      <c r="K42" s="298"/>
      <c r="L42" s="298"/>
      <c r="M42" s="298"/>
      <c r="N42" s="298"/>
      <c r="O42" s="298"/>
      <c r="P42" s="244"/>
      <c r="Q42" s="244"/>
    </row>
    <row r="43" spans="1:17" x14ac:dyDescent="0.35">
      <c r="A43" s="320"/>
      <c r="B43" s="243"/>
      <c r="C43" s="324"/>
      <c r="D43" s="325"/>
      <c r="E43" s="324"/>
      <c r="F43" s="275"/>
      <c r="G43" s="298"/>
      <c r="H43" s="298"/>
      <c r="I43" s="298"/>
      <c r="J43" s="326"/>
      <c r="K43" s="298"/>
      <c r="L43" s="298"/>
      <c r="M43" s="298"/>
      <c r="N43" s="298"/>
      <c r="O43" s="298"/>
      <c r="P43" s="244"/>
      <c r="Q43" s="244"/>
    </row>
    <row r="44" spans="1:17" x14ac:dyDescent="0.35">
      <c r="A44" s="320"/>
      <c r="B44" s="243"/>
      <c r="C44" s="324"/>
      <c r="D44" s="325"/>
      <c r="E44" s="324"/>
      <c r="F44" s="275"/>
      <c r="G44" s="298"/>
      <c r="H44" s="298"/>
      <c r="I44" s="298"/>
      <c r="J44" s="326"/>
      <c r="K44" s="298"/>
      <c r="L44" s="298"/>
      <c r="M44" s="298"/>
      <c r="N44" s="298"/>
      <c r="O44" s="298"/>
      <c r="P44" s="244"/>
      <c r="Q44" s="244"/>
    </row>
    <row r="45" spans="1:17" x14ac:dyDescent="0.35">
      <c r="A45" s="320"/>
      <c r="B45" s="243"/>
      <c r="C45" s="324"/>
      <c r="D45" s="325"/>
      <c r="E45" s="324"/>
      <c r="F45" s="275"/>
      <c r="G45" s="298"/>
      <c r="H45" s="298"/>
      <c r="I45" s="298"/>
      <c r="J45" s="326"/>
      <c r="K45" s="298"/>
      <c r="L45" s="298"/>
      <c r="M45" s="298"/>
      <c r="N45" s="298"/>
      <c r="O45" s="298"/>
      <c r="P45" s="244"/>
      <c r="Q45" s="244"/>
    </row>
    <row r="46" spans="1:17" x14ac:dyDescent="0.35">
      <c r="A46" s="320"/>
      <c r="B46" s="243"/>
      <c r="C46" s="324"/>
      <c r="D46" s="325"/>
      <c r="E46" s="324"/>
      <c r="F46" s="275"/>
      <c r="G46" s="298"/>
      <c r="H46" s="298"/>
      <c r="I46" s="298"/>
      <c r="J46" s="326"/>
      <c r="K46" s="298"/>
      <c r="L46" s="298"/>
      <c r="M46" s="298"/>
      <c r="N46" s="298"/>
      <c r="O46" s="298"/>
      <c r="P46" s="244"/>
      <c r="Q46" s="244"/>
    </row>
    <row r="47" spans="1:17" x14ac:dyDescent="0.35">
      <c r="A47" s="320"/>
      <c r="B47" s="243"/>
      <c r="C47" s="324"/>
      <c r="D47" s="325"/>
      <c r="E47" s="324"/>
      <c r="F47" s="275"/>
      <c r="G47" s="298"/>
      <c r="H47" s="298"/>
      <c r="I47" s="298"/>
      <c r="J47" s="326"/>
      <c r="K47" s="298"/>
      <c r="L47" s="298"/>
      <c r="M47" s="298"/>
      <c r="N47" s="298"/>
      <c r="O47" s="298"/>
      <c r="P47" s="244"/>
      <c r="Q47" s="244"/>
    </row>
    <row r="48" spans="1:17" x14ac:dyDescent="0.35">
      <c r="A48" s="320"/>
      <c r="B48" s="243"/>
      <c r="C48" s="324"/>
      <c r="D48" s="325"/>
      <c r="E48" s="324"/>
      <c r="F48" s="275"/>
      <c r="G48" s="298"/>
      <c r="H48" s="298"/>
      <c r="I48" s="298"/>
      <c r="J48" s="326"/>
      <c r="K48" s="298"/>
      <c r="L48" s="298"/>
      <c r="M48" s="298"/>
      <c r="N48" s="298"/>
      <c r="O48" s="298"/>
      <c r="P48" s="244"/>
      <c r="Q48" s="244"/>
    </row>
    <row r="49" spans="1:17" x14ac:dyDescent="0.35">
      <c r="A49" s="320"/>
      <c r="B49" s="243"/>
      <c r="C49" s="324"/>
      <c r="D49" s="325"/>
      <c r="E49" s="324"/>
      <c r="F49" s="275"/>
      <c r="G49" s="298"/>
      <c r="H49" s="298"/>
      <c r="I49" s="298"/>
      <c r="J49" s="326"/>
      <c r="K49" s="298"/>
      <c r="L49" s="298"/>
      <c r="M49" s="298"/>
      <c r="N49" s="298"/>
      <c r="O49" s="298"/>
      <c r="P49" s="244"/>
      <c r="Q49" s="244"/>
    </row>
    <row r="50" spans="1:17" ht="18.5" x14ac:dyDescent="0.35">
      <c r="A50" s="327"/>
      <c r="B50" s="328" t="s">
        <v>94</v>
      </c>
      <c r="C50" s="329"/>
      <c r="D50" s="330"/>
      <c r="E50" s="324"/>
      <c r="F50" s="275"/>
      <c r="G50" s="298"/>
      <c r="H50" s="298"/>
      <c r="I50" s="298"/>
      <c r="J50" s="326"/>
      <c r="K50" s="298"/>
      <c r="L50" s="298"/>
      <c r="M50" s="298"/>
      <c r="N50" s="298"/>
      <c r="O50" s="298"/>
      <c r="P50" s="244"/>
      <c r="Q50" s="244"/>
    </row>
    <row r="51" spans="1:17" x14ac:dyDescent="0.35">
      <c r="A51" s="327"/>
      <c r="B51" s="33"/>
      <c r="C51" s="329"/>
      <c r="D51" s="330"/>
      <c r="E51" s="324"/>
      <c r="F51" s="275"/>
      <c r="G51" s="298"/>
      <c r="H51" s="298"/>
      <c r="I51" s="298"/>
      <c r="J51" s="326"/>
      <c r="K51" s="298"/>
      <c r="L51" s="298"/>
      <c r="M51" s="298"/>
      <c r="N51" s="298"/>
      <c r="O51" s="298"/>
      <c r="P51" s="244"/>
      <c r="Q51" s="244"/>
    </row>
    <row r="52" spans="1:17" x14ac:dyDescent="0.35">
      <c r="A52" s="327">
        <v>1</v>
      </c>
      <c r="B52" s="33" t="s">
        <v>95</v>
      </c>
      <c r="C52" s="329"/>
      <c r="D52" s="330"/>
      <c r="E52" s="324"/>
      <c r="F52" s="275"/>
      <c r="G52" s="331">
        <f>'Farm Center Dozen'!D34</f>
        <v>-10692.333333333334</v>
      </c>
      <c r="H52" s="331">
        <f>'Farm Center Dozen'!E34</f>
        <v>16088</v>
      </c>
      <c r="I52" s="298"/>
      <c r="J52" s="174">
        <f>'Cash Earnings'!F64</f>
        <v>-57382</v>
      </c>
      <c r="K52" s="298"/>
      <c r="L52" s="298"/>
      <c r="M52" s="298"/>
      <c r="N52" s="298"/>
      <c r="O52" s="298"/>
      <c r="P52" s="244"/>
      <c r="Q52" s="244"/>
    </row>
    <row r="53" spans="1:17" x14ac:dyDescent="0.35">
      <c r="A53" s="327">
        <v>2</v>
      </c>
      <c r="B53" s="33" t="s">
        <v>96</v>
      </c>
      <c r="C53" s="329"/>
      <c r="D53" s="330"/>
      <c r="E53" s="324"/>
      <c r="F53" s="275"/>
      <c r="G53" s="331">
        <f>'Farm Center Dozen'!D35</f>
        <v>58000</v>
      </c>
      <c r="H53" s="331">
        <f>'Farm Center Dozen'!E35</f>
        <v>55000</v>
      </c>
      <c r="I53" s="298"/>
      <c r="J53" s="174">
        <f>'Cash Earnings'!F65</f>
        <v>60000</v>
      </c>
      <c r="K53" s="298"/>
      <c r="L53" s="298"/>
      <c r="M53" s="298"/>
      <c r="N53" s="298"/>
      <c r="O53" s="298"/>
      <c r="P53" s="244"/>
      <c r="Q53" s="244"/>
    </row>
    <row r="54" spans="1:17" x14ac:dyDescent="0.35">
      <c r="A54" s="327">
        <v>3</v>
      </c>
      <c r="B54" s="33" t="s">
        <v>97</v>
      </c>
      <c r="C54" s="329"/>
      <c r="D54" s="330"/>
      <c r="E54" s="324"/>
      <c r="F54" s="275"/>
      <c r="G54" s="331">
        <f>'Farm Center Dozen'!D36</f>
        <v>143681.66666666666</v>
      </c>
      <c r="H54" s="331">
        <f>'Farm Center Dozen'!E36</f>
        <v>139585.20000000001</v>
      </c>
      <c r="I54" s="298"/>
      <c r="J54" s="174">
        <f>'Cash Earnings'!F57</f>
        <v>63108</v>
      </c>
      <c r="K54" s="298"/>
      <c r="L54" s="298"/>
      <c r="M54" s="298"/>
      <c r="N54" s="298"/>
      <c r="O54" s="298"/>
      <c r="P54" s="244"/>
      <c r="Q54" s="244"/>
    </row>
    <row r="55" spans="1:17" x14ac:dyDescent="0.35">
      <c r="A55" s="327">
        <v>4</v>
      </c>
      <c r="B55" s="33" t="s">
        <v>98</v>
      </c>
      <c r="C55" s="329"/>
      <c r="D55" s="330"/>
      <c r="E55" s="324"/>
      <c r="F55" s="275"/>
      <c r="G55" s="331">
        <f>'Farm Center Dozen'!D37</f>
        <v>55533</v>
      </c>
      <c r="H55" s="331">
        <f>'Farm Center Dozen'!E37</f>
        <v>55680.800000000003</v>
      </c>
      <c r="I55" s="298"/>
      <c r="J55" s="174">
        <f>'Cash Earnings'!F61</f>
        <v>71665</v>
      </c>
      <c r="K55" s="298"/>
      <c r="L55" s="298"/>
      <c r="M55" s="298"/>
      <c r="N55" s="298"/>
      <c r="O55" s="298"/>
      <c r="P55" s="244"/>
      <c r="Q55" s="244"/>
    </row>
    <row r="56" spans="1:17" x14ac:dyDescent="0.35">
      <c r="A56" s="327">
        <v>5</v>
      </c>
      <c r="B56" s="33" t="s">
        <v>99</v>
      </c>
      <c r="C56" s="329"/>
      <c r="D56" s="330"/>
      <c r="E56" s="324"/>
      <c r="F56" s="275"/>
      <c r="G56" s="331">
        <f>'Farm Center Dozen'!D38</f>
        <v>7336</v>
      </c>
      <c r="H56" s="331">
        <f>'Farm Center Dozen'!E38</f>
        <v>5047</v>
      </c>
      <c r="I56" s="298"/>
      <c r="J56" s="174">
        <f>'Cash Earnings'!F62</f>
        <v>-9996</v>
      </c>
      <c r="K56" s="298"/>
      <c r="L56" s="298"/>
      <c r="M56" s="298"/>
      <c r="N56" s="298"/>
      <c r="O56" s="298"/>
      <c r="P56" s="244"/>
      <c r="Q56" s="244"/>
    </row>
    <row r="57" spans="1:17" ht="16.5" x14ac:dyDescent="0.35">
      <c r="A57" s="332">
        <v>6</v>
      </c>
      <c r="B57" s="333" t="s">
        <v>100</v>
      </c>
      <c r="C57" s="329"/>
      <c r="D57" s="52"/>
      <c r="E57" s="324"/>
      <c r="F57" s="275"/>
      <c r="G57" s="331">
        <f>'Farm Center Dozen'!D39</f>
        <v>239186.33333333331</v>
      </c>
      <c r="H57" s="331">
        <f>'Farm Center Dozen'!E39</f>
        <v>261307</v>
      </c>
      <c r="I57" s="298"/>
      <c r="J57" s="177">
        <f>SUM(J52:J55)-J56</f>
        <v>147387</v>
      </c>
      <c r="K57" s="298"/>
      <c r="L57" s="298"/>
      <c r="M57" s="298"/>
      <c r="N57" s="298"/>
      <c r="O57" s="298"/>
      <c r="P57" s="244"/>
      <c r="Q57" s="244"/>
    </row>
    <row r="58" spans="1:17" x14ac:dyDescent="0.35">
      <c r="A58" s="327">
        <v>7</v>
      </c>
      <c r="B58" s="65" t="s">
        <v>101</v>
      </c>
      <c r="C58" s="329"/>
      <c r="D58" s="330"/>
      <c r="E58" s="324"/>
      <c r="F58" s="275"/>
      <c r="G58" s="331">
        <f>'Farm Center Dozen'!D40</f>
        <v>0</v>
      </c>
      <c r="H58" s="331">
        <f>'Farm Center Dozen'!E40</f>
        <v>0</v>
      </c>
      <c r="I58" s="298"/>
      <c r="J58" s="174">
        <f>'Cash Earnings'!F66</f>
        <v>0</v>
      </c>
      <c r="K58" s="298"/>
      <c r="L58" s="298"/>
      <c r="M58" s="298"/>
      <c r="N58" s="298"/>
      <c r="O58" s="298"/>
      <c r="P58" s="244"/>
      <c r="Q58" s="244"/>
    </row>
    <row r="59" spans="1:17" x14ac:dyDescent="0.35">
      <c r="A59" s="327">
        <v>8</v>
      </c>
      <c r="B59" s="33" t="s">
        <v>102</v>
      </c>
      <c r="C59" s="329"/>
      <c r="D59" s="330"/>
      <c r="E59" s="324"/>
      <c r="F59" s="275"/>
      <c r="G59" s="331">
        <f>'Farm Center Dozen'!D41</f>
        <v>26000</v>
      </c>
      <c r="H59" s="331">
        <f>'Farm Center Dozen'!E41</f>
        <v>26000</v>
      </c>
      <c r="I59" s="298"/>
      <c r="J59" s="174">
        <f>'Current Balance Sheet'!F54</f>
        <v>26000</v>
      </c>
      <c r="K59" s="298"/>
      <c r="L59" s="298"/>
      <c r="M59" s="298"/>
      <c r="N59" s="298"/>
      <c r="O59" s="298"/>
      <c r="P59" s="244"/>
      <c r="Q59" s="244"/>
    </row>
    <row r="60" spans="1:17" x14ac:dyDescent="0.35">
      <c r="A60" s="327">
        <v>9</v>
      </c>
      <c r="B60" s="33" t="s">
        <v>103</v>
      </c>
      <c r="C60" s="329"/>
      <c r="D60" s="330"/>
      <c r="E60" s="324"/>
      <c r="F60" s="275"/>
      <c r="G60" s="331">
        <f>'Farm Center Dozen'!D42</f>
        <v>0</v>
      </c>
      <c r="H60" s="331">
        <f>'Farm Center Dozen'!E42</f>
        <v>0</v>
      </c>
      <c r="I60" s="298"/>
      <c r="J60" s="174">
        <f>'Cash Earnings'!F67</f>
        <v>0</v>
      </c>
      <c r="K60" s="298"/>
      <c r="L60" s="298"/>
      <c r="M60" s="298"/>
      <c r="N60" s="298"/>
      <c r="O60" s="298"/>
      <c r="P60" s="244"/>
      <c r="Q60" s="244"/>
    </row>
    <row r="61" spans="1:17" ht="32.5" customHeight="1" x14ac:dyDescent="0.35">
      <c r="A61" s="332">
        <v>10</v>
      </c>
      <c r="B61" s="333" t="s">
        <v>104</v>
      </c>
      <c r="C61" s="334"/>
      <c r="D61" s="335"/>
      <c r="E61" s="324"/>
      <c r="F61" s="275"/>
      <c r="G61" s="331">
        <f>'Farm Center Dozen'!D43</f>
        <v>213186.33333333331</v>
      </c>
      <c r="H61" s="331">
        <f>'Farm Center Dozen'!E43</f>
        <v>235307</v>
      </c>
      <c r="I61" s="298"/>
      <c r="J61" s="177">
        <f>J57-J58-J59-J60</f>
        <v>121387</v>
      </c>
      <c r="K61" s="298"/>
      <c r="L61" s="298"/>
      <c r="M61" s="298"/>
      <c r="N61" s="298"/>
      <c r="O61" s="298"/>
      <c r="P61" s="244"/>
      <c r="Q61" s="244"/>
    </row>
    <row r="62" spans="1:17" ht="16.5" x14ac:dyDescent="0.35">
      <c r="A62" s="327">
        <v>11</v>
      </c>
      <c r="B62" s="33" t="s">
        <v>246</v>
      </c>
      <c r="C62" s="329"/>
      <c r="D62" s="330"/>
      <c r="E62" s="324"/>
      <c r="F62" s="275"/>
      <c r="G62" s="331">
        <f>'Farm Center Dozen'!D44</f>
        <v>74882</v>
      </c>
      <c r="H62" s="331">
        <f>'Farm Center Dozen'!E44</f>
        <v>74882</v>
      </c>
      <c r="I62" s="298"/>
      <c r="J62" s="180">
        <f>'Current Balance Sheet'!E30</f>
        <v>74882</v>
      </c>
      <c r="K62" s="298"/>
      <c r="L62" s="298"/>
      <c r="M62" s="298"/>
      <c r="N62" s="298"/>
      <c r="O62" s="298"/>
      <c r="P62" s="244"/>
      <c r="Q62" s="244"/>
    </row>
    <row r="63" spans="1:17" ht="16.5" x14ac:dyDescent="0.35">
      <c r="A63" s="327">
        <v>12</v>
      </c>
      <c r="B63" s="33" t="s">
        <v>247</v>
      </c>
      <c r="C63" s="329"/>
      <c r="D63" s="330"/>
      <c r="E63" s="324"/>
      <c r="F63" s="275"/>
      <c r="G63" s="331">
        <f>'Farm Center Dozen'!D45</f>
        <v>84042.764999999999</v>
      </c>
      <c r="H63" s="331">
        <f>'Farm Center Dozen'!E45</f>
        <v>84042.764999999999</v>
      </c>
      <c r="I63" s="298"/>
      <c r="J63" s="180">
        <f>('Current Balance Sheet'!E30+'Current Balance Sheet'!E29+'Current Balance Sheet'!E38)*'Current Balance Sheet'!F57</f>
        <v>84042.764999999999</v>
      </c>
      <c r="K63" s="312"/>
      <c r="L63" s="298"/>
      <c r="M63" s="298"/>
      <c r="N63" s="298"/>
      <c r="O63" s="298"/>
      <c r="P63" s="244"/>
      <c r="Q63" s="244"/>
    </row>
    <row r="64" spans="1:17" ht="29" x14ac:dyDescent="0.35">
      <c r="A64" s="327">
        <v>13</v>
      </c>
      <c r="B64" s="336" t="s">
        <v>145</v>
      </c>
      <c r="C64" s="329"/>
      <c r="D64" s="330"/>
      <c r="E64" s="324"/>
      <c r="F64" s="275"/>
      <c r="G64" s="337">
        <f>'Farm Center Dozen'!D46</f>
        <v>1.3414292815429572</v>
      </c>
      <c r="H64" s="337">
        <f>'Farm Center Dozen'!E46</f>
        <v>1.4806188324393619</v>
      </c>
      <c r="I64" s="298"/>
      <c r="J64" s="183">
        <f>J61/(J62+J63)</f>
        <v>0.76380166426547802</v>
      </c>
      <c r="K64" s="298"/>
      <c r="L64" s="298"/>
      <c r="M64" s="298"/>
      <c r="N64" s="298"/>
      <c r="O64" s="298"/>
      <c r="P64" s="244"/>
      <c r="Q64" s="244"/>
    </row>
    <row r="65" spans="1:17" ht="29" x14ac:dyDescent="0.35">
      <c r="A65" s="327">
        <v>14</v>
      </c>
      <c r="B65" s="336" t="s">
        <v>239</v>
      </c>
      <c r="C65" s="329"/>
      <c r="D65" s="330"/>
      <c r="E65" s="324"/>
      <c r="F65" s="275"/>
      <c r="G65" s="338">
        <f>'Farm Center Dozen'!D47</f>
        <v>54261.568333333315</v>
      </c>
      <c r="H65" s="338">
        <f>'Farm Center Dozen'!E47</f>
        <v>76382.235000000001</v>
      </c>
      <c r="I65" s="298"/>
      <c r="J65" s="185">
        <f>J61-J62-J63</f>
        <v>-37537.764999999999</v>
      </c>
      <c r="K65" s="298"/>
      <c r="L65" s="298"/>
      <c r="M65" s="298"/>
      <c r="N65" s="298"/>
      <c r="O65" s="298"/>
      <c r="P65" s="244"/>
      <c r="Q65" s="244"/>
    </row>
    <row r="66" spans="1:17" ht="16.5" x14ac:dyDescent="0.35">
      <c r="A66" s="327">
        <v>15</v>
      </c>
      <c r="B66" s="336" t="s">
        <v>251</v>
      </c>
      <c r="C66" s="329"/>
      <c r="D66" s="330"/>
      <c r="E66" s="324"/>
      <c r="F66" s="275"/>
      <c r="G66" s="331">
        <f>'Farm Center Dozen'!D48</f>
        <v>94261.763252967779</v>
      </c>
      <c r="H66" s="331">
        <f>'Farm Center Dozen'!E48</f>
        <v>91574.293236331432</v>
      </c>
      <c r="I66" s="298"/>
      <c r="J66" s="187">
        <f>('Cash Earnings'!F57*(1-('Current Balance Sheet'!E40/('Current Balance Sheet'!E23-'Current Balance Sheet'!E15))))</f>
        <v>41401.742430847989</v>
      </c>
      <c r="K66" s="298"/>
      <c r="L66" s="298"/>
      <c r="M66" s="298"/>
      <c r="N66" s="298"/>
      <c r="O66" s="298"/>
      <c r="P66" s="244"/>
      <c r="Q66" s="244"/>
    </row>
    <row r="67" spans="1:17" x14ac:dyDescent="0.35">
      <c r="A67" s="327">
        <v>16</v>
      </c>
      <c r="B67" s="336" t="s">
        <v>198</v>
      </c>
      <c r="C67" s="329"/>
      <c r="D67" s="330"/>
      <c r="E67" s="324"/>
      <c r="F67" s="275"/>
      <c r="G67" s="331">
        <f>'Farm Center Dozen'!D49</f>
        <v>-40000.194919634465</v>
      </c>
      <c r="H67" s="331">
        <f>'Farm Center Dozen'!E49</f>
        <v>-15192.058236331432</v>
      </c>
      <c r="I67" s="298"/>
      <c r="J67" s="185">
        <f>J65-J66</f>
        <v>-78939.507430847996</v>
      </c>
      <c r="K67" s="298"/>
      <c r="L67" s="298"/>
      <c r="M67" s="298"/>
      <c r="N67" s="298"/>
      <c r="O67" s="298"/>
      <c r="P67" s="244"/>
      <c r="Q67" s="244"/>
    </row>
    <row r="68" spans="1:17" ht="31" x14ac:dyDescent="0.35">
      <c r="A68" s="327">
        <v>17</v>
      </c>
      <c r="B68" s="339" t="s">
        <v>248</v>
      </c>
      <c r="C68" s="329"/>
      <c r="D68" s="330"/>
      <c r="E68" s="324"/>
      <c r="F68" s="275"/>
      <c r="G68" s="331" t="str">
        <f>'Farm Center Dozen'!D50</f>
        <v>No</v>
      </c>
      <c r="H68" s="331" t="str">
        <f>'Farm Center Dozen'!E50</f>
        <v>No</v>
      </c>
      <c r="I68" s="298"/>
      <c r="J68" s="185" t="str">
        <f>IF(J65&gt;J66,"Yes","No")</f>
        <v>No</v>
      </c>
      <c r="K68" s="298"/>
      <c r="L68" s="340"/>
      <c r="M68" s="298"/>
      <c r="N68" s="298"/>
      <c r="O68" s="298"/>
      <c r="P68" s="244"/>
      <c r="Q68" s="244"/>
    </row>
    <row r="69" spans="1:17" ht="16.5" x14ac:dyDescent="0.35">
      <c r="A69" s="341"/>
      <c r="B69" s="244"/>
      <c r="C69" s="324"/>
      <c r="D69" s="325"/>
      <c r="E69" s="324"/>
      <c r="F69" s="275"/>
      <c r="G69" s="298"/>
      <c r="H69" s="298"/>
      <c r="I69" s="298"/>
      <c r="J69" s="326"/>
      <c r="K69" s="298"/>
      <c r="L69" s="340"/>
      <c r="M69" s="298"/>
      <c r="N69" s="298"/>
      <c r="O69" s="298"/>
      <c r="P69" s="244"/>
      <c r="Q69" s="244"/>
    </row>
    <row r="70" spans="1:17" ht="16.5" x14ac:dyDescent="0.35">
      <c r="A70" s="341">
        <v>1</v>
      </c>
      <c r="B70" s="342" t="s">
        <v>105</v>
      </c>
      <c r="C70" s="324"/>
      <c r="D70" s="325"/>
      <c r="E70" s="324"/>
      <c r="F70" s="275"/>
      <c r="G70" s="298"/>
      <c r="H70" s="298"/>
      <c r="I70" s="298"/>
      <c r="J70" s="326"/>
      <c r="K70" s="298"/>
      <c r="L70" s="298"/>
      <c r="M70" s="298"/>
      <c r="N70" s="298"/>
      <c r="O70" s="298"/>
      <c r="P70" s="244"/>
      <c r="Q70" s="244"/>
    </row>
    <row r="71" spans="1:17" ht="16.5" x14ac:dyDescent="0.35">
      <c r="A71" s="341">
        <v>2</v>
      </c>
      <c r="B71" s="342" t="s">
        <v>231</v>
      </c>
      <c r="C71" s="324"/>
      <c r="D71" s="325"/>
      <c r="E71" s="324"/>
      <c r="F71" s="275"/>
      <c r="G71" s="298"/>
      <c r="H71" s="298"/>
      <c r="I71" s="298"/>
      <c r="J71" s="326"/>
      <c r="K71" s="298"/>
      <c r="L71" s="298"/>
      <c r="M71" s="298"/>
      <c r="N71" s="298"/>
      <c r="O71" s="298"/>
      <c r="P71" s="244"/>
      <c r="Q71" s="244"/>
    </row>
    <row r="72" spans="1:17" ht="16.5" x14ac:dyDescent="0.35">
      <c r="A72" s="341">
        <v>3</v>
      </c>
      <c r="B72" s="342" t="s">
        <v>230</v>
      </c>
      <c r="C72" s="324"/>
      <c r="D72" s="325"/>
      <c r="E72" s="324"/>
      <c r="F72" s="275"/>
      <c r="G72" s="298"/>
      <c r="H72" s="298"/>
      <c r="I72" s="298"/>
      <c r="J72" s="326"/>
      <c r="K72" s="298"/>
      <c r="L72" s="298"/>
      <c r="M72" s="298"/>
      <c r="N72" s="298"/>
      <c r="O72" s="298"/>
      <c r="P72" s="244"/>
      <c r="Q72" s="244"/>
    </row>
    <row r="73" spans="1:17" ht="16.5" x14ac:dyDescent="0.35">
      <c r="A73" s="341">
        <v>4</v>
      </c>
      <c r="B73" s="244" t="s">
        <v>232</v>
      </c>
      <c r="C73" s="324"/>
      <c r="D73" s="325"/>
      <c r="E73" s="324"/>
      <c r="F73" s="275"/>
      <c r="G73" s="298"/>
      <c r="H73" s="298"/>
      <c r="I73" s="298"/>
      <c r="J73" s="326"/>
      <c r="K73" s="298"/>
      <c r="L73" s="298"/>
      <c r="M73" s="298"/>
      <c r="N73" s="298"/>
      <c r="O73" s="298"/>
      <c r="P73" s="244"/>
      <c r="Q73" s="244"/>
    </row>
    <row r="74" spans="1:17" ht="16.5" x14ac:dyDescent="0.35">
      <c r="A74" s="341">
        <v>5</v>
      </c>
      <c r="B74" s="342" t="s">
        <v>233</v>
      </c>
      <c r="C74" s="324"/>
      <c r="D74" s="325"/>
      <c r="E74" s="324"/>
      <c r="F74" s="275"/>
      <c r="G74" s="298"/>
      <c r="H74" s="298"/>
      <c r="I74" s="298"/>
      <c r="J74" s="326"/>
      <c r="K74" s="298"/>
      <c r="L74" s="298"/>
      <c r="M74" s="298"/>
      <c r="N74" s="298"/>
      <c r="O74" s="298"/>
      <c r="P74" s="244"/>
      <c r="Q74" s="244"/>
    </row>
    <row r="75" spans="1:17" ht="16.5" x14ac:dyDescent="0.35">
      <c r="A75" s="341">
        <v>6</v>
      </c>
      <c r="B75" s="342" t="s">
        <v>112</v>
      </c>
      <c r="C75" s="324"/>
      <c r="D75" s="325"/>
      <c r="E75" s="324"/>
      <c r="F75" s="275"/>
      <c r="G75" s="298"/>
      <c r="H75" s="298"/>
      <c r="I75" s="298"/>
      <c r="J75" s="326"/>
      <c r="K75" s="298"/>
      <c r="L75" s="298"/>
      <c r="M75" s="298"/>
      <c r="N75" s="298"/>
      <c r="O75" s="298"/>
      <c r="P75" s="244"/>
      <c r="Q75" s="244"/>
    </row>
    <row r="76" spans="1:17" x14ac:dyDescent="0.35">
      <c r="A76" s="231"/>
      <c r="B76" s="227"/>
      <c r="C76" s="227"/>
      <c r="D76" s="227"/>
      <c r="E76" s="227"/>
      <c r="G76" s="232"/>
      <c r="H76" s="232"/>
      <c r="I76" s="232"/>
      <c r="K76" s="233"/>
      <c r="L76" s="233"/>
      <c r="M76" s="227"/>
      <c r="N76" s="227"/>
      <c r="O76" s="227"/>
    </row>
    <row r="77" spans="1:17" ht="17.5" x14ac:dyDescent="0.35">
      <c r="A77" s="230"/>
      <c r="B77" s="234"/>
      <c r="C77" s="234"/>
      <c r="D77" s="234"/>
      <c r="E77" s="234"/>
      <c r="F77" s="235"/>
      <c r="G77" s="234"/>
      <c r="H77" s="234"/>
      <c r="I77" s="234"/>
      <c r="J77" s="234"/>
      <c r="K77" s="234"/>
      <c r="L77" s="234"/>
      <c r="M77" s="234"/>
      <c r="N77" s="234"/>
      <c r="O77" s="234"/>
    </row>
    <row r="78" spans="1:17" ht="49.5" customHeight="1" x14ac:dyDescent="0.35">
      <c r="A78" s="228"/>
      <c r="F78" s="228"/>
      <c r="M78" s="236"/>
      <c r="N78" s="236"/>
      <c r="O78" s="236"/>
    </row>
    <row r="79" spans="1:17" ht="50.5" customHeight="1" x14ac:dyDescent="0.35">
      <c r="A79" s="228"/>
      <c r="F79" s="228"/>
      <c r="M79" s="237"/>
      <c r="N79" s="237"/>
      <c r="O79" s="237"/>
    </row>
    <row r="80" spans="1:17" ht="52.5" customHeight="1" x14ac:dyDescent="0.35">
      <c r="A80" s="228"/>
      <c r="F80" s="228"/>
      <c r="M80" s="237"/>
      <c r="N80" s="237"/>
      <c r="O80" s="237"/>
    </row>
    <row r="81" spans="6:15" s="238" customFormat="1" ht="72.5" customHeight="1" x14ac:dyDescent="0.35">
      <c r="M81" s="237"/>
      <c r="N81" s="237"/>
      <c r="O81" s="237"/>
    </row>
    <row r="82" spans="6:15" x14ac:dyDescent="0.35">
      <c r="F82" s="228"/>
    </row>
  </sheetData>
  <sheetProtection sheet="1" objects="1" scenarios="1"/>
  <mergeCells count="9">
    <mergeCell ref="B40:L40"/>
    <mergeCell ref="B37:L37"/>
    <mergeCell ref="B41:L41"/>
    <mergeCell ref="J2:N2"/>
    <mergeCell ref="A1:E1"/>
    <mergeCell ref="C2:E2"/>
    <mergeCell ref="A3:B3"/>
    <mergeCell ref="B38:L38"/>
    <mergeCell ref="B39:L3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Cash Earnings</vt:lpstr>
      <vt:lpstr>Current Balance Sheet</vt:lpstr>
      <vt:lpstr>Bernhardt Dozen</vt:lpstr>
      <vt:lpstr>Farm Center Dozen</vt:lpstr>
      <vt:lpstr>Ratio Scorecard</vt:lpstr>
    </vt:vector>
  </TitlesOfParts>
  <Company>University of Wisconsin-Platteville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 Bernhardt</dc:creator>
  <cp:lastModifiedBy>Kevin J Bernhardt</cp:lastModifiedBy>
  <cp:lastPrinted>2017-10-03T19:36:26Z</cp:lastPrinted>
  <dcterms:created xsi:type="dcterms:W3CDTF">2017-09-15T13:24:50Z</dcterms:created>
  <dcterms:modified xsi:type="dcterms:W3CDTF">2018-03-26T21:08:43Z</dcterms:modified>
</cp:coreProperties>
</file>